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lJBDiTBE7BAizt39ziUKqJieOaXpxpbXc9L/a/UVZGhrOKGBAag8JgmwkTzUhTJdki8fJw1Z8HRlPRNxCWea/w==" workbookSaltValue="4wLXmX4cAuS+dt5jCU0D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20"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N14" i="2" s="1"/>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H12" i="2" s="1"/>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M14" i="2"/>
  <c r="F14" i="7"/>
  <c r="T14" i="12"/>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K16" i="7" s="1"/>
  <c r="BD9" i="8"/>
  <c r="E14" i="17"/>
  <c r="AH14" i="16"/>
  <c r="S17" i="17"/>
  <c r="L13" i="2"/>
  <c r="X10" i="21"/>
  <c r="X16" i="16"/>
  <c r="X20" i="16" s="1"/>
  <c r="V10" i="16"/>
  <c r="T14" i="20"/>
  <c r="X13" i="16"/>
  <c r="T20" i="17"/>
  <c r="BF16" i="13"/>
  <c r="BG16" i="13"/>
  <c r="BB20" i="13"/>
  <c r="BE17" i="13"/>
  <c r="BE16" i="13"/>
  <c r="BF17" i="13"/>
  <c r="Y22" i="20"/>
  <c r="W22" i="20"/>
  <c r="U10" i="11"/>
  <c r="W22" i="21"/>
  <c r="AF22" i="20"/>
  <c r="U18" i="11"/>
  <c r="AL22" i="20"/>
  <c r="AE22" i="20"/>
  <c r="AG22" i="20"/>
  <c r="L22" i="20"/>
  <c r="M22" i="20"/>
  <c r="N22" i="20"/>
  <c r="K22" i="20"/>
  <c r="AC22" i="20"/>
  <c r="AA22" i="20"/>
  <c r="U12" i="11"/>
  <c r="AQ22" i="21"/>
  <c r="U17" i="11"/>
  <c r="AQ22" i="20"/>
  <c r="G14" i="14"/>
  <c r="AE21" i="8" l="1"/>
  <c r="BA14" i="8"/>
  <c r="BG10" i="8"/>
  <c r="R21" i="8"/>
  <c r="BE9" i="8"/>
  <c r="L17" i="2"/>
  <c r="B19" i="6"/>
  <c r="M20" i="2"/>
  <c r="N20" i="2"/>
  <c r="F11" i="16"/>
  <c r="BL11" i="16" s="1"/>
  <c r="X12" i="21"/>
  <c r="AP17" i="20"/>
  <c r="BH9" i="16"/>
  <c r="BL19" i="11"/>
  <c r="BL9" i="11"/>
  <c r="BK13" i="11"/>
  <c r="BH18" i="16"/>
  <c r="BM17" i="11"/>
  <c r="Q18" i="20"/>
  <c r="Q20" i="20" s="1"/>
  <c r="V11" i="16"/>
  <c r="BF18" i="11"/>
  <c r="BK19" i="11"/>
  <c r="BF10" i="11"/>
  <c r="AZ19" i="11"/>
  <c r="S9" i="17"/>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G10" i="11"/>
  <c r="BH16" i="16"/>
  <c r="BH19" i="11"/>
  <c r="BK9" i="11"/>
  <c r="V12" i="21"/>
  <c r="V18" i="16"/>
  <c r="BK16"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<sst xmlns="http://schemas.openxmlformats.org/spreadsheetml/2006/main" count="2229" uniqueCount="978">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</sst>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J14Czb33rERzkJBeCIF3nEQpeYrtcpzvShhlk/7yI20xa0XX5rNHgtkGxttmCpUqUf3O7F1Y/1dHIJdA65ppA==" saltValue="Nu1yyZNdpklBwq+jqzQP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56.972378277153553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60</v>
      </c>
      <c r="D10" s="230">
        <f>IF(ISNUMBER(Datos!I10),Datos!I10," - ")</f>
        <v>60</v>
      </c>
      <c r="E10" s="231">
        <f>IF(ISNUMBER(Datos!J10),Datos!J10," - ")</f>
        <v>16</v>
      </c>
      <c r="F10" s="231">
        <f>IF(ISNUMBER(Datos!K10),Datos!K10," - ")</f>
        <v>24</v>
      </c>
      <c r="G10" s="1193" t="str">
        <f>IF(Datos!E10&lt;&gt;"",Datos!E10,Datos!D10)</f>
        <v>37</v>
      </c>
      <c r="H10" s="232">
        <f>IF(ISNUMBER(Datos!L10),Datos!L10," - ")</f>
        <v>52</v>
      </c>
      <c r="I10" s="1203" t="str">
        <f>IF(ISNUMBER(Datos!AS10/Datos!BM10),Datos!AS10/Datos!BM10," - ")</f>
        <v xml:space="preserve"> - </v>
      </c>
      <c r="J10" s="1204">
        <f>IF(ISNUMBER(Datos!BY10/Datos!CN10),Datos!BY10/Datos!CN10," - ")</f>
        <v>0</v>
      </c>
      <c r="K10" s="235">
        <f t="shared" ref="K10:K13" si="1">IF(ISNUMBER((E10-F10)/C10),(E10-F10)/C10," - ")</f>
        <v>-0.13333333333333333</v>
      </c>
      <c r="L10" s="1205">
        <f>IF(ISNUMBER(NºAsuntos!I10/NºAsuntos!G10),(NºAsuntos!I10/NºAsuntos!G10)*11," - ")</f>
        <v>23.833333333333332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60</v>
      </c>
      <c r="D14" s="1210">
        <f>SUBTOTAL(9,D9:D13)</f>
        <v>60</v>
      </c>
      <c r="E14" s="1211">
        <f>SUBTOTAL(9,E9:E13)</f>
        <v>16</v>
      </c>
      <c r="F14" s="1212">
        <f>SUBTOTAL(9,F9:F13)</f>
        <v>24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831</v>
      </c>
      <c r="D16" s="230">
        <f>IF(ISNUMBER(IF(D_I="SI",Datos!I16,Datos!I16+Datos!AC16)),IF(D_I="SI",Datos!I16,Datos!I16+Datos!AC16)," - ")</f>
        <v>830</v>
      </c>
      <c r="E16" s="231">
        <f>IF(ISNUMBER(IF(D_I="SI",Datos!J16,Datos!J16+Datos!AD16)),IF(D_I="SI",Datos!J16,Datos!J16+Datos!AD16)," - ")</f>
        <v>1546</v>
      </c>
      <c r="F16" s="231">
        <f>IF(ISNUMBER(IF(D_I="SI",Datos!K16,Datos!K16+Datos!AE16)),IF(D_I="SI",Datos!K16,Datos!K16+Datos!AE16)," - ")</f>
        <v>1489</v>
      </c>
      <c r="G16" s="1193" t="str">
        <f>IF(Datos!E16&lt;&gt;"",Datos!E16,Datos!D16)</f>
        <v>03</v>
      </c>
      <c r="H16" s="232">
        <f>IF(ISNUMBER(IF(D_I="SI",Datos!L16,Datos!L16+Datos!AF16)),IF(D_I="SI",Datos!L16,Datos!L16+Datos!AF16)," - ")</f>
        <v>888</v>
      </c>
      <c r="I16" s="1203" t="str">
        <f>IF(ISNUMBER(Datos!AS16/Datos!BM16),Datos!AS16/Datos!BM16," - ")</f>
        <v xml:space="preserve"> - </v>
      </c>
      <c r="J16" s="1204">
        <f>IF(ISNUMBER(Datos!BY16/Datos!CN16),Datos!BY16/Datos!CN16," - ")</f>
        <v>0</v>
      </c>
      <c r="K16" s="235">
        <f t="shared" ref="K16:K19" si="3">IF(ISNUMBER((E16-F16)/C16),(E16-F16)/C16," - ")</f>
        <v>6.8592057761732855E-2</v>
      </c>
      <c r="L16" s="1205">
        <f>IF(ISNUMBER(NºAsuntos!I16/NºAsuntos!G16),(NºAsuntos!I16/NºAsuntos!G16)*11," - ")</f>
        <v>6.5601074546675626</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198</v>
      </c>
      <c r="D18" s="230">
        <f>IF(ISNUMBER(IF(D_I="SI",Datos!I18,Datos!I18+Datos!AC18)),IF(D_I="SI",Datos!I18,Datos!I18+Datos!AC18)," - ")</f>
        <v>198</v>
      </c>
      <c r="E18" s="231">
        <f>IF(ISNUMBER(IF(D_I="SI",Datos!J18,Datos!J18+Datos!AD18)),IF(D_I="SI",Datos!J18,Datos!J18+Datos!AD18)," - ")</f>
        <v>122</v>
      </c>
      <c r="F18" s="231">
        <f>IF(ISNUMBER(IF(D_I="SI",Datos!K18,Datos!K18+Datos!AE18)),IF(D_I="SI",Datos!K18,Datos!K18+Datos!AE18)," - ")</f>
        <v>105</v>
      </c>
      <c r="G18" s="1193" t="str">
        <f>IF(Datos!E18&lt;&gt;"",Datos!E18,Datos!D18)</f>
        <v>37</v>
      </c>
      <c r="H18" s="232">
        <f>IF(ISNUMBER(IF(D_I="SI",Datos!L18,Datos!L18+Datos!AF18)),IF(D_I="SI",Datos!L18,Datos!L18+Datos!AF18)," - ")</f>
        <v>215</v>
      </c>
      <c r="I18" s="1203" t="str">
        <f>IF(ISNUMBER(Datos!AS18/Datos!BM18),Datos!AS18/Datos!BM18," - ")</f>
        <v xml:space="preserve"> - </v>
      </c>
      <c r="J18" s="1204" t="str">
        <f>IF(ISNUMBER((Datos!BY18+Datos!BZ18)/Datos!CN18),(Datos!BY18+Datos!BZ18)/Datos!CN18," - ")</f>
        <v xml:space="preserve"> - </v>
      </c>
      <c r="K18" s="235">
        <f t="shared" si="3"/>
        <v>8.5858585858585856E-2</v>
      </c>
      <c r="L18" s="1205">
        <f>IF(ISNUMBER(NºAsuntos!I18/NºAsuntos!G18),(NºAsuntos!I18/NºAsuntos!G18)*11," - ")</f>
        <v>22.523809523809522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1029</v>
      </c>
      <c r="D20" s="1210">
        <f>SUBTOTAL(9,D16:D19)</f>
        <v>1028</v>
      </c>
      <c r="E20" s="1211">
        <f>SUBTOTAL(9,E16:E19)</f>
        <v>1668</v>
      </c>
      <c r="F20" s="1211">
        <f>SUBTOTAL(9,F16:F19)</f>
        <v>1594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1089</v>
      </c>
      <c r="D21" s="1232">
        <f>SUBTOTAL(9,D9:D20)</f>
        <v>1088</v>
      </c>
      <c r="E21" s="1233">
        <f>SUBTOTAL(9,E9:E20)</f>
        <v>1684</v>
      </c>
      <c r="F21" s="1233">
        <f>SUBTOTAL(9,F9:F20)</f>
        <v>1618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Q/K/5qpWn0gYYsaHwgHx8TfqFD1aV2dl8o9E3K3Hwy6h93DZMF+GFfeafOPHdLcX0+muWOHtezQnbpR6Y0odrg==" saltValue="gJ4qJajd8iXTyE62Z5PUh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XMu6DR0uRR3no9c0EMYzDPjgtM/a6DSga5GJGhI+LVpW22Nwht/fzitwmuum1L4P206Ykw5emwr1U1PXPHTZTw==" saltValue="drx23d8kwT0pYxma3Eeo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11769</v>
      </c>
      <c r="J9" s="186">
        <v>1014</v>
      </c>
      <c r="K9" s="186">
        <v>2017</v>
      </c>
      <c r="L9" s="186">
        <v>10767</v>
      </c>
      <c r="M9" s="186">
        <v>796</v>
      </c>
      <c r="N9" s="186">
        <v>600</v>
      </c>
      <c r="O9" s="186">
        <v>1175</v>
      </c>
      <c r="P9" s="186">
        <v>293</v>
      </c>
      <c r="Q9" s="186">
        <v>815</v>
      </c>
      <c r="R9" s="186">
        <v>7355</v>
      </c>
      <c r="S9" s="186">
        <v>14261</v>
      </c>
      <c r="T9" s="186">
        <v>2267</v>
      </c>
      <c r="U9" s="186">
        <v>2564</v>
      </c>
      <c r="V9" s="186">
        <v>12202</v>
      </c>
      <c r="W9" s="186">
        <v>1221</v>
      </c>
      <c r="X9" s="193">
        <v>561</v>
      </c>
      <c r="Y9" s="196">
        <v>327</v>
      </c>
      <c r="Z9" s="186">
        <v>88</v>
      </c>
      <c r="AA9" s="186">
        <v>119</v>
      </c>
      <c r="AB9" s="186">
        <v>296</v>
      </c>
      <c r="AC9" s="186">
        <v>0</v>
      </c>
      <c r="AD9" s="186">
        <v>0</v>
      </c>
      <c r="AE9" s="186">
        <v>0</v>
      </c>
      <c r="AF9" s="193">
        <v>0</v>
      </c>
      <c r="AG9" s="196">
        <v>334</v>
      </c>
      <c r="AH9" s="186">
        <v>118</v>
      </c>
      <c r="AI9" s="186">
        <v>159</v>
      </c>
      <c r="AJ9" s="197">
        <v>267</v>
      </c>
      <c r="AK9" s="185">
        <v>0</v>
      </c>
      <c r="AL9" s="186">
        <v>0</v>
      </c>
      <c r="AM9" s="186">
        <v>0</v>
      </c>
      <c r="AN9" s="193">
        <v>0</v>
      </c>
      <c r="AO9" s="263">
        <v>6</v>
      </c>
      <c r="AP9" s="159">
        <v>6</v>
      </c>
      <c r="AQ9" s="159">
        <v>6</v>
      </c>
      <c r="AR9" s="198">
        <v>6</v>
      </c>
      <c r="AS9" s="348" t="s">
        <v>871</v>
      </c>
      <c r="AT9" s="200"/>
      <c r="AU9" s="199"/>
      <c r="AV9" s="200"/>
      <c r="AW9" s="199"/>
      <c r="AX9" s="200"/>
      <c r="AY9" s="125">
        <f>IF(ISNUMBER(IF(J_V="SI",S9,S9+AG9)),IF(J_V="SI",S9,S9+AG9)," - ")</f>
        <v>14595</v>
      </c>
      <c r="AZ9" s="125">
        <f>IF(ISNUMBER(IF(J_V="SI",T9,T9+AH9)),IF(J_V="SI",T9,T9+AH9)," - ")</f>
        <v>2385</v>
      </c>
      <c r="BA9" s="126">
        <f>IF(ISNUMBER(IF(J_V="SI",U9,U9+AI9)),IF(J_V="SI",U9,U9+AI9)," - ")</f>
        <v>2723</v>
      </c>
      <c r="BB9" s="126">
        <f>IF(ISNUMBER(IF(J_V="SI",V9,V9+AJ9)),IF(J_V="SI",V9,V9+AJ9)," - ")</f>
        <v>12469</v>
      </c>
      <c r="BC9" s="127">
        <f>IF(ISNUMBER(X9),X9," - ")</f>
        <v>561</v>
      </c>
      <c r="BD9" s="128">
        <f>IF(ISNUMBER(BA9/AZ9),BA9/AZ9," - ")</f>
        <v>1.1417190775681341</v>
      </c>
      <c r="BE9" s="129">
        <f>IF(ISNUMBER(BB9/BA9),BB9/BA9, " - ")</f>
        <v>4.5791406536907822</v>
      </c>
      <c r="BF9" s="129">
        <f>IF(ISNUMBER(BC9/BA9),BC9/BA9, " - ")</f>
        <v>0.20602276900477415</v>
      </c>
      <c r="BG9" s="201">
        <f>IF(ISNUMBER((AY9+AZ9)/BA9),(AY9+AZ9)/BA9," - ")</f>
        <v>6.2357693720161587</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60</v>
      </c>
      <c r="J10" s="186">
        <v>16</v>
      </c>
      <c r="K10" s="186">
        <v>24</v>
      </c>
      <c r="L10" s="186">
        <v>52</v>
      </c>
      <c r="M10" s="186">
        <v>3</v>
      </c>
      <c r="N10" s="186">
        <v>12</v>
      </c>
      <c r="O10" s="186">
        <v>12</v>
      </c>
      <c r="P10" s="186">
        <v>4</v>
      </c>
      <c r="Q10" s="186">
        <v>6</v>
      </c>
      <c r="R10" s="186">
        <v>31</v>
      </c>
      <c r="S10" s="186">
        <v>57</v>
      </c>
      <c r="T10" s="186">
        <v>33</v>
      </c>
      <c r="U10" s="186">
        <v>35</v>
      </c>
      <c r="V10" s="186">
        <v>55</v>
      </c>
      <c r="W10" s="186">
        <v>8</v>
      </c>
      <c r="X10" s="193">
        <v>14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57</v>
      </c>
      <c r="AZ10" s="131">
        <f t="shared" si="0"/>
        <v>33</v>
      </c>
      <c r="BA10" s="131">
        <f t="shared" si="0"/>
        <v>35</v>
      </c>
      <c r="BB10" s="131">
        <f t="shared" si="0"/>
        <v>55</v>
      </c>
      <c r="BC10" s="127">
        <f t="shared" si="0"/>
        <v>8</v>
      </c>
      <c r="BD10" s="128">
        <f>IF(ISNUMBER(BA10/AZ10),BA10/AZ10," - ")</f>
        <v>1.0606060606060606</v>
      </c>
      <c r="BE10" s="129">
        <f>IF(ISNUMBER(BB10/BA10),BB10/BA10, " - ")</f>
        <v>1.5714285714285714</v>
      </c>
      <c r="BF10" s="129">
        <f>IF(ISNUMBER(BC10/BA10),BC10/BA10, " - ")</f>
        <v>0.22857142857142856</v>
      </c>
      <c r="BG10" s="201">
        <f>IF(ISNUMBER((AY10+AZ10)/BA10),(AY10+AZ10)/BA10," - ")</f>
        <v>2.5714285714285716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11829</v>
      </c>
      <c r="J14" s="189">
        <f t="shared" si="7"/>
        <v>1030</v>
      </c>
      <c r="K14" s="189">
        <f t="shared" si="7"/>
        <v>2041</v>
      </c>
      <c r="L14" s="189">
        <f t="shared" si="7"/>
        <v>10819</v>
      </c>
      <c r="M14" s="189">
        <f t="shared" si="7"/>
        <v>799</v>
      </c>
      <c r="N14" s="189">
        <f t="shared" si="7"/>
        <v>612</v>
      </c>
      <c r="O14" s="189">
        <f t="shared" si="7"/>
        <v>1187</v>
      </c>
      <c r="P14" s="189">
        <f t="shared" si="7"/>
        <v>297</v>
      </c>
      <c r="Q14" s="189">
        <f t="shared" si="7"/>
        <v>821</v>
      </c>
      <c r="R14" s="189">
        <f t="shared" si="7"/>
        <v>7386</v>
      </c>
      <c r="S14" s="189">
        <f t="shared" si="7"/>
        <v>14318</v>
      </c>
      <c r="T14" s="189">
        <f t="shared" si="7"/>
        <v>2300</v>
      </c>
      <c r="U14" s="189">
        <f t="shared" si="7"/>
        <v>2599</v>
      </c>
      <c r="V14" s="189">
        <f t="shared" si="7"/>
        <v>12257</v>
      </c>
      <c r="W14" s="189">
        <f t="shared" si="7"/>
        <v>1229</v>
      </c>
      <c r="X14" s="189">
        <f t="shared" si="7"/>
        <v>575</v>
      </c>
      <c r="Y14" s="189">
        <f t="shared" si="7"/>
        <v>327</v>
      </c>
      <c r="Z14" s="189">
        <f t="shared" si="7"/>
        <v>88</v>
      </c>
      <c r="AA14" s="189">
        <f t="shared" si="7"/>
        <v>119</v>
      </c>
      <c r="AB14" s="189">
        <f t="shared" si="7"/>
        <v>296</v>
      </c>
      <c r="AC14" s="189">
        <f t="shared" si="7"/>
        <v>0</v>
      </c>
      <c r="AD14" s="189">
        <f t="shared" si="7"/>
        <v>0</v>
      </c>
      <c r="AE14" s="189">
        <f t="shared" si="7"/>
        <v>0</v>
      </c>
      <c r="AF14" s="189">
        <f>SUBTOTAL(9,AF9:AF13)</f>
        <v>0</v>
      </c>
      <c r="AG14" s="189">
        <f t="shared" ref="AG14:AT14" si="8">SUBTOTAL(9,AG8:AG13)</f>
        <v>334</v>
      </c>
      <c r="AH14" s="189">
        <f t="shared" si="8"/>
        <v>118</v>
      </c>
      <c r="AI14" s="189">
        <f t="shared" si="8"/>
        <v>159</v>
      </c>
      <c r="AJ14" s="189">
        <f t="shared" si="8"/>
        <v>267</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14652</v>
      </c>
      <c r="AZ14" s="189">
        <f>SUBTOTAL(9,AZ8:AZ13)</f>
        <v>2418</v>
      </c>
      <c r="BA14" s="189">
        <f>SUBTOTAL(9,BA8:BA13)</f>
        <v>2758</v>
      </c>
      <c r="BB14" s="189">
        <f>SUBTOTAL(9,BB8:BB13)</f>
        <v>12524</v>
      </c>
      <c r="BC14" s="189">
        <f>SUBTOTAL(9,BC8:BC13)</f>
        <v>569</v>
      </c>
      <c r="BD14" s="210">
        <f>IF(ISNUMBER(BA14/AZ14),BA14/AZ14," - ")</f>
        <v>1.1406120760959471</v>
      </c>
      <c r="BE14" s="211">
        <f>IF(ISNUMBER(BB14/BA14),BB14/BA14, " - ")</f>
        <v>4.5409717186366931</v>
      </c>
      <c r="BF14" s="211">
        <f>IF(ISNUMBER(BC14/BA14),BC14/BA14, " - ")</f>
        <v>0.20630891950688904</v>
      </c>
      <c r="BG14" s="212">
        <f>IF(ISNUMBER((AY14+AZ14)/BA14),(AY14+AZ14)/BA14," - ")</f>
        <v>6.1892675852066716</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830</v>
      </c>
      <c r="J16" s="188">
        <v>1546</v>
      </c>
      <c r="K16" s="188">
        <v>1489</v>
      </c>
      <c r="L16" s="188">
        <v>888</v>
      </c>
      <c r="M16" s="188">
        <v>203</v>
      </c>
      <c r="N16" s="188">
        <v>979</v>
      </c>
      <c r="O16" s="186">
        <v>46</v>
      </c>
      <c r="P16" s="188">
        <v>157</v>
      </c>
      <c r="Q16" s="188">
        <v>112</v>
      </c>
      <c r="R16" s="188">
        <v>244</v>
      </c>
      <c r="S16" s="188">
        <v>666</v>
      </c>
      <c r="T16" s="188">
        <v>1583</v>
      </c>
      <c r="U16" s="188">
        <v>1648</v>
      </c>
      <c r="V16" s="188">
        <v>608</v>
      </c>
      <c r="W16" s="188">
        <v>223</v>
      </c>
      <c r="X16" s="194">
        <v>1088</v>
      </c>
      <c r="Y16" s="207">
        <v>0</v>
      </c>
      <c r="Z16" s="188">
        <v>0</v>
      </c>
      <c r="AA16" s="188">
        <v>0</v>
      </c>
      <c r="AB16" s="188">
        <v>0</v>
      </c>
      <c r="AC16" s="188">
        <v>0</v>
      </c>
      <c r="AD16" s="188">
        <v>63</v>
      </c>
      <c r="AE16" s="188">
        <v>63</v>
      </c>
      <c r="AF16" s="194">
        <v>0</v>
      </c>
      <c r="AG16" s="207">
        <v>0</v>
      </c>
      <c r="AH16" s="188">
        <v>0</v>
      </c>
      <c r="AI16" s="188">
        <v>0</v>
      </c>
      <c r="AJ16" s="208">
        <v>0</v>
      </c>
      <c r="AK16" s="187">
        <v>0</v>
      </c>
      <c r="AL16" s="188">
        <v>76</v>
      </c>
      <c r="AM16" s="188">
        <v>76</v>
      </c>
      <c r="AN16" s="194">
        <v>0</v>
      </c>
      <c r="AO16" s="264">
        <v>4</v>
      </c>
      <c r="AP16" s="160">
        <v>4</v>
      </c>
      <c r="AQ16" s="160">
        <v>4</v>
      </c>
      <c r="AR16" s="160">
        <v>4</v>
      </c>
      <c r="AS16" s="350" t="s">
        <v>588</v>
      </c>
      <c r="AT16" s="208" t="s">
        <v>360</v>
      </c>
      <c r="AU16" s="207"/>
      <c r="AV16" s="208"/>
      <c r="AW16" s="207"/>
      <c r="AX16" s="208"/>
      <c r="AY16" s="130">
        <f t="shared" ref="AY16:BB17" si="10">IF(ISNUMBER(IF(D_I="SI",S16,S16+AK16)),IF(D_I="SI",S16,S16+AK16)," - ")</f>
        <v>666</v>
      </c>
      <c r="AZ16" s="131">
        <f t="shared" si="10"/>
        <v>1583</v>
      </c>
      <c r="BA16" s="131">
        <f t="shared" si="10"/>
        <v>1648</v>
      </c>
      <c r="BB16" s="131">
        <f t="shared" si="10"/>
        <v>608</v>
      </c>
      <c r="BC16" s="127">
        <f>IF(ISNUMBER(W16),W16," - ")</f>
        <v>223</v>
      </c>
      <c r="BD16" s="128">
        <f>IF(ISNUMBER(BA16/AZ16),BA16/AZ16," - ")</f>
        <v>1.0410612760581175</v>
      </c>
      <c r="BE16" s="129">
        <f>IF(ISNUMBER(BB16/BA16),BB16/BA16, " - ")</f>
        <v>0.36893203883495146</v>
      </c>
      <c r="BF16" s="129">
        <f>IF(ISNUMBER(BC16/BA16),BC16/BA16, " - ")</f>
        <v>0.13531553398058252</v>
      </c>
      <c r="BG16" s="201">
        <f t="shared" ref="BG16:BG19" si="11">IF(ISNUMBER((AY16+AZ16)/BA16),(AY16+AZ16)/BA16," - ")</f>
        <v>1.3646844660194175</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198</v>
      </c>
      <c r="J18" s="188">
        <v>122</v>
      </c>
      <c r="K18" s="188">
        <v>105</v>
      </c>
      <c r="L18" s="188">
        <v>215</v>
      </c>
      <c r="M18" s="188">
        <v>11</v>
      </c>
      <c r="N18" s="188">
        <v>65</v>
      </c>
      <c r="O18" s="188">
        <v>5</v>
      </c>
      <c r="P18" s="188">
        <v>2</v>
      </c>
      <c r="Q18" s="188">
        <v>5</v>
      </c>
      <c r="R18" s="188">
        <v>6</v>
      </c>
      <c r="S18" s="188">
        <v>106</v>
      </c>
      <c r="T18" s="188">
        <v>159</v>
      </c>
      <c r="U18" s="188">
        <v>153</v>
      </c>
      <c r="V18" s="188">
        <v>120</v>
      </c>
      <c r="W18" s="188">
        <v>10</v>
      </c>
      <c r="X18" s="194">
        <v>132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106</v>
      </c>
      <c r="AZ18" s="131">
        <f t="shared" si="15"/>
        <v>159</v>
      </c>
      <c r="BA18" s="131">
        <f t="shared" si="15"/>
        <v>153</v>
      </c>
      <c r="BB18" s="131">
        <f t="shared" si="15"/>
        <v>120</v>
      </c>
      <c r="BC18" s="127">
        <f>IF(ISNUMBER(W18),W18," - ")</f>
        <v>10</v>
      </c>
      <c r="BD18" s="128">
        <f>IF(ISNUMBER(BA18/AZ18),BA18/AZ18," - ")</f>
        <v>0.96226415094339623</v>
      </c>
      <c r="BE18" s="129">
        <f>IF(ISNUMBER(BB18/BA18),BB18/BA18, " - ")</f>
        <v>0.78431372549019607</v>
      </c>
      <c r="BF18" s="129">
        <f>IF(ISNUMBER(BC18/BA18),BC18/BA18, " - ")</f>
        <v>6.535947712418301E-2</v>
      </c>
      <c r="BG18" s="201">
        <f>IF(ISNUMBER((AY18+AZ18)/BA18),(AY18+AZ18)/BA18," - ")</f>
        <v>1.7320261437908497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1028</v>
      </c>
      <c r="J20" s="189">
        <f t="shared" si="16"/>
        <v>1668</v>
      </c>
      <c r="K20" s="189">
        <f t="shared" si="16"/>
        <v>1594</v>
      </c>
      <c r="L20" s="189">
        <f t="shared" si="16"/>
        <v>1103</v>
      </c>
      <c r="M20" s="189">
        <f t="shared" si="16"/>
        <v>214</v>
      </c>
      <c r="N20" s="189">
        <f t="shared" si="16"/>
        <v>1044</v>
      </c>
      <c r="O20" s="189">
        <f t="shared" si="16"/>
        <v>51</v>
      </c>
      <c r="P20" s="189">
        <f t="shared" si="16"/>
        <v>159</v>
      </c>
      <c r="Q20" s="189">
        <f t="shared" si="16"/>
        <v>117</v>
      </c>
      <c r="R20" s="189">
        <f t="shared" si="16"/>
        <v>250</v>
      </c>
      <c r="S20" s="189">
        <f t="shared" si="16"/>
        <v>772</v>
      </c>
      <c r="T20" s="189">
        <f t="shared" si="16"/>
        <v>1742</v>
      </c>
      <c r="U20" s="189">
        <f t="shared" si="16"/>
        <v>1801</v>
      </c>
      <c r="V20" s="189">
        <f t="shared" si="16"/>
        <v>728</v>
      </c>
      <c r="W20" s="189">
        <f t="shared" si="16"/>
        <v>233</v>
      </c>
      <c r="X20" s="189">
        <f t="shared" si="16"/>
        <v>1220</v>
      </c>
      <c r="Y20" s="189">
        <f t="shared" si="16"/>
        <v>0</v>
      </c>
      <c r="Z20" s="189">
        <f t="shared" si="16"/>
        <v>0</v>
      </c>
      <c r="AA20" s="189">
        <f t="shared" si="16"/>
        <v>0</v>
      </c>
      <c r="AB20" s="189">
        <f t="shared" si="16"/>
        <v>0</v>
      </c>
      <c r="AC20" s="189">
        <f t="shared" si="16"/>
        <v>0</v>
      </c>
      <c r="AD20" s="189">
        <f t="shared" si="16"/>
        <v>63</v>
      </c>
      <c r="AE20" s="189">
        <f t="shared" si="16"/>
        <v>63</v>
      </c>
      <c r="AF20" s="189">
        <f t="shared" si="16"/>
        <v>0</v>
      </c>
      <c r="AG20" s="189">
        <f t="shared" si="16"/>
        <v>0</v>
      </c>
      <c r="AH20" s="189">
        <f t="shared" si="16"/>
        <v>0</v>
      </c>
      <c r="AI20" s="189">
        <f t="shared" si="16"/>
        <v>0</v>
      </c>
      <c r="AJ20" s="189">
        <f t="shared" si="16"/>
        <v>0</v>
      </c>
      <c r="AK20" s="189">
        <f t="shared" si="16"/>
        <v>0</v>
      </c>
      <c r="AL20" s="189">
        <f t="shared" si="16"/>
        <v>76</v>
      </c>
      <c r="AM20" s="189">
        <f t="shared" si="16"/>
        <v>76</v>
      </c>
      <c r="AN20" s="189">
        <f t="shared" si="16"/>
        <v>0</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772</v>
      </c>
      <c r="AZ20" s="189">
        <f>SUBTOTAL(9,AZ15:AZ19)</f>
        <v>1742</v>
      </c>
      <c r="BA20" s="189">
        <f>SUBTOTAL(9,BA15:BA19)</f>
        <v>1801</v>
      </c>
      <c r="BB20" s="189">
        <f>SUBTOTAL(9,BB15:BB19)</f>
        <v>728</v>
      </c>
      <c r="BC20" s="189">
        <f>SUBTOTAL(9,BC15:BC19)</f>
        <v>233</v>
      </c>
      <c r="BD20" s="210">
        <f>IF(ISNUMBER(BA20/AZ20),BA20/AZ20," - ")</f>
        <v>1.0338691159586682</v>
      </c>
      <c r="BE20" s="211">
        <f>IF(ISNUMBER(BB20/BA20),BB20/BA20, " - ")</f>
        <v>0.40421987784564128</v>
      </c>
      <c r="BF20" s="211">
        <f>IF(ISNUMBER(BC20/BA20),BC20/BA20, " - ")</f>
        <v>0.12937257079400333</v>
      </c>
      <c r="BG20" s="212">
        <f>IF(ISNUMBER((AY20+AZ20)/BA20),(AY20+AZ20)/BA20," - ")</f>
        <v>1.3958911715713493</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12857</v>
      </c>
      <c r="J21" s="136">
        <f t="shared" si="19"/>
        <v>2698</v>
      </c>
      <c r="K21" s="136">
        <f t="shared" si="19"/>
        <v>3635</v>
      </c>
      <c r="L21" s="136">
        <f t="shared" si="19"/>
        <v>11922</v>
      </c>
      <c r="M21" s="136">
        <f t="shared" si="19"/>
        <v>1013</v>
      </c>
      <c r="N21" s="136">
        <f t="shared" si="19"/>
        <v>1656</v>
      </c>
      <c r="O21" s="136">
        <f t="shared" si="19"/>
        <v>1238</v>
      </c>
      <c r="P21" s="136">
        <f t="shared" si="19"/>
        <v>456</v>
      </c>
      <c r="Q21" s="136">
        <f t="shared" si="19"/>
        <v>938</v>
      </c>
      <c r="R21" s="136">
        <f t="shared" si="19"/>
        <v>7636</v>
      </c>
      <c r="S21" s="136">
        <f t="shared" si="19"/>
        <v>15090</v>
      </c>
      <c r="T21" s="136">
        <f t="shared" si="19"/>
        <v>4042</v>
      </c>
      <c r="U21" s="136">
        <f t="shared" si="19"/>
        <v>4400</v>
      </c>
      <c r="V21" s="136">
        <f t="shared" si="19"/>
        <v>12985</v>
      </c>
      <c r="W21" s="136">
        <f t="shared" si="19"/>
        <v>1462</v>
      </c>
      <c r="X21" s="136">
        <f t="shared" si="19"/>
        <v>1795</v>
      </c>
      <c r="Y21" s="136">
        <f t="shared" si="19"/>
        <v>327</v>
      </c>
      <c r="Z21" s="136">
        <f t="shared" si="19"/>
        <v>88</v>
      </c>
      <c r="AA21" s="136">
        <f t="shared" si="19"/>
        <v>119</v>
      </c>
      <c r="AB21" s="136">
        <f t="shared" si="19"/>
        <v>296</v>
      </c>
      <c r="AC21" s="136">
        <f t="shared" si="19"/>
        <v>0</v>
      </c>
      <c r="AD21" s="136">
        <f t="shared" si="19"/>
        <v>63</v>
      </c>
      <c r="AE21" s="136">
        <f t="shared" si="19"/>
        <v>63</v>
      </c>
      <c r="AF21" s="136">
        <f t="shared" si="19"/>
        <v>0</v>
      </c>
      <c r="AG21" s="136">
        <f t="shared" si="19"/>
        <v>334</v>
      </c>
      <c r="AH21" s="136">
        <f t="shared" si="19"/>
        <v>118</v>
      </c>
      <c r="AI21" s="136">
        <f t="shared" si="19"/>
        <v>159</v>
      </c>
      <c r="AJ21" s="136">
        <f t="shared" si="19"/>
        <v>267</v>
      </c>
      <c r="AK21" s="136">
        <f t="shared" si="19"/>
        <v>0</v>
      </c>
      <c r="AL21" s="136">
        <f t="shared" si="19"/>
        <v>76</v>
      </c>
      <c r="AM21" s="136">
        <f t="shared" si="19"/>
        <v>76</v>
      </c>
      <c r="AN21" s="215">
        <f t="shared" si="19"/>
        <v>0</v>
      </c>
      <c r="AO21" s="216">
        <v>11</v>
      </c>
      <c r="AP21" s="216">
        <v>11</v>
      </c>
      <c r="AQ21" s="216">
        <v>11</v>
      </c>
      <c r="AR21" s="216">
        <v>11</v>
      </c>
      <c r="AS21" s="158">
        <f t="shared" si="19"/>
        <v>0</v>
      </c>
      <c r="AT21" s="158">
        <f t="shared" si="19"/>
        <v>0</v>
      </c>
      <c r="AU21" s="216"/>
      <c r="AV21" s="217"/>
      <c r="AW21" s="216"/>
      <c r="AX21" s="217"/>
      <c r="AY21" s="135">
        <f>SUBTOTAL(9,AY9:AY20)</f>
        <v>15424</v>
      </c>
      <c r="AZ21" s="136">
        <f>SUBTOTAL(9,AZ9:AZ20)</f>
        <v>4160</v>
      </c>
      <c r="BA21" s="136">
        <f>SUBTOTAL(9,BA9:BA20)</f>
        <v>4559</v>
      </c>
      <c r="BB21" s="136">
        <f>SUBTOTAL(9,BB9:BB20)</f>
        <v>13252</v>
      </c>
      <c r="BC21" s="137">
        <f>SUBTOTAL(9,BC9:BC20)</f>
        <v>802</v>
      </c>
      <c r="BD21" s="218">
        <f>IF(ISNUMBER(BA21/AZ21),BA21/AZ21," - ")</f>
        <v>1.0959134615384616</v>
      </c>
      <c r="BE21" s="215">
        <f>IF(ISNUMBER(BB21/BA21),BB21/BA21, " - ")</f>
        <v>2.9067778021495942</v>
      </c>
      <c r="BF21" s="215">
        <f>IF(ISNUMBER(BC21/BA21),BC21/BA21, " - ")</f>
        <v>0.17591577100241282</v>
      </c>
      <c r="BG21" s="137">
        <f>IF(ISNUMBER((AY21+AZ21)/BA21),(AY21+AZ21)/BA21," - ")</f>
        <v>4.2956788769466989</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cDQB31i+MBnM7E1aboKyVmQmv6Bso8gGdBWr65lHWu0/GuF3g3XQ/6dgq3QD7V61+nRLZMHmRE9LAGQsmaT4g==" saltValue="UrDIfJku0zd+F0BHaw+7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Ps0IO7j2JqItpniYwY34RAX1CFLunSU2FdhdoCcoo+HN9tSe+hIqHKzs4VJEE9sg5fro7el9fePzmUH9l2SLQ==" saltValue="/u/dcWE8z7OVHE2RxxxL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CADIZ</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88</v>
      </c>
      <c r="O9" s="504"/>
      <c r="P9" s="504"/>
      <c r="Q9" s="502">
        <f>IF(ISNUMBER(Datos!P9),Datos!P9,0)</f>
        <v>293</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815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296</v>
      </c>
      <c r="AI9" s="504" t="str">
        <f>IF(ISNUMBER(Datos!CD9),Datos!CD9,"-")</f>
        <v>-</v>
      </c>
      <c r="AJ9" s="504" t="str">
        <f>IF(ISNUMBER(Datos!EN9),Datos!EN9," - ")</f>
        <v xml:space="preserve"> - </v>
      </c>
      <c r="AK9" s="504"/>
      <c r="AL9" s="505"/>
      <c r="AM9" s="672">
        <f>IF(ISNUMBER(Datos!R9),Datos!R9," - ")</f>
        <v>7355</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796</v>
      </c>
      <c r="BD9" s="620">
        <f>IF(ISNUMBER(Datos!N9),Datos!N9," - ")</f>
        <v>600</v>
      </c>
      <c r="BE9" s="620" t="str">
        <f>IF(ISNUMBER(Datos!BW9),Datos!BW9," - ")</f>
        <v xml:space="preserve"> - </v>
      </c>
      <c r="BF9" s="668" t="str">
        <f>IF(ISNUMBER(Datos!BX9),Datos!BX9," - ")</f>
        <v xml:space="preserve"> - </v>
      </c>
      <c r="BG9" s="669">
        <f>IF(ISNUMBER(IF(J_V="SI",Datos!K9/Datos!J9,(Datos!K9+Datos!AA9)/(Datos!J9+Datos!Z9))),IF(J_V="SI",Datos!K9/Datos!J9,(Datos!K9+Datos!AA9)/(Datos!J9+Datos!Z9))," - ")</f>
        <v>1.9382940108892921</v>
      </c>
      <c r="BH9" s="670">
        <f>IF(ISNUMBER(((IF(J_V="SI",Datos!L9/Datos!K9,(Datos!L9+Datos!AB9)/(Datos!K9+Datos!AA9)))*11)/factor_trimestre),((IF(J_V="SI",Datos!L9/Datos!K9,(Datos!L9+Datos!AB9)/(Datos!K9+Datos!AA9)))*11)/factor_trimestre," - ")</f>
        <v>15.537921348314606</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-6.6268884092928776E-2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60</v>
      </c>
      <c r="G10" s="498">
        <f>IF(ISNUMBER(Datos!I10),Datos!I10," - ")</f>
        <v>60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24</v>
      </c>
      <c r="AC10" s="502">
        <f>IF(ISNUMBER(Datos!Q10),Datos!Q10," - ")</f>
        <v>6</v>
      </c>
      <c r="AD10" s="504"/>
      <c r="AE10" s="517"/>
      <c r="AF10" s="506">
        <f>IF(ISNUMBER(Datos!L10),Datos!L10,"-")</f>
        <v>52</v>
      </c>
      <c r="AG10" s="504"/>
      <c r="AH10" s="504"/>
      <c r="AI10" s="504"/>
      <c r="AJ10" s="504"/>
      <c r="AK10" s="504"/>
      <c r="AL10" s="505"/>
      <c r="AM10" s="672">
        <f>IF(ISNUMBER(Datos!R10),Datos!R10," - ")</f>
        <v>31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12</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6.5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-6.0606060606060608E-2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60</v>
      </c>
      <c r="G14" s="1045">
        <f t="shared" si="1"/>
        <v>60</v>
      </c>
      <c r="H14" s="1046">
        <f t="shared" si="1"/>
        <v>0</v>
      </c>
      <c r="I14" s="1045">
        <f t="shared" si="1"/>
        <v>0</v>
      </c>
      <c r="J14" s="1014">
        <f t="shared" si="1"/>
        <v>0</v>
      </c>
      <c r="K14" s="1014">
        <f t="shared" si="1"/>
        <v>0</v>
      </c>
      <c r="L14" s="1046">
        <f t="shared" si="1"/>
        <v>0</v>
      </c>
      <c r="M14" s="1046">
        <f t="shared" si="1"/>
        <v>0</v>
      </c>
      <c r="N14" s="1046">
        <f t="shared" si="1"/>
        <v>88</v>
      </c>
      <c r="O14" s="1047">
        <f t="shared" si="1"/>
        <v>0</v>
      </c>
      <c r="P14" s="1047">
        <f t="shared" si="1"/>
        <v>0</v>
      </c>
      <c r="Q14" s="1046">
        <f t="shared" si="1"/>
        <v>297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24</v>
      </c>
      <c r="AC14" s="1046">
        <f t="shared" si="2"/>
        <v>821</v>
      </c>
      <c r="AD14" s="1046">
        <f t="shared" si="2"/>
        <v>0</v>
      </c>
      <c r="AE14" s="1046">
        <f t="shared" si="2"/>
        <v>0</v>
      </c>
      <c r="AF14" s="1046">
        <f t="shared" si="2"/>
        <v>52</v>
      </c>
      <c r="AG14" s="1046">
        <f t="shared" si="2"/>
        <v>0</v>
      </c>
      <c r="AH14" s="1046">
        <f t="shared" si="2"/>
        <v>296</v>
      </c>
      <c r="AI14" s="1046">
        <f t="shared" si="2"/>
        <v>0</v>
      </c>
      <c r="AJ14" s="1046">
        <f t="shared" si="2"/>
        <v>0</v>
      </c>
      <c r="AK14" s="1046">
        <f t="shared" si="2"/>
        <v>0</v>
      </c>
      <c r="AL14" s="1046">
        <f t="shared" si="2"/>
        <v>0</v>
      </c>
      <c r="AM14" s="1046">
        <f t="shared" si="2"/>
        <v>7386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799</v>
      </c>
      <c r="BD14" s="1046">
        <f t="shared" si="2"/>
        <v>612</v>
      </c>
      <c r="BE14" s="1046">
        <f t="shared" si="2"/>
        <v>0</v>
      </c>
      <c r="BF14" s="1046">
        <f t="shared" si="2"/>
        <v>0</v>
      </c>
      <c r="BG14" s="1046">
        <f>IF(ISNUMBER(Datos!K14/Datos!J14),Datos!K14/Datos!J14," - ")</f>
        <v>1.9815533980582525</v>
      </c>
      <c r="BH14" s="1050">
        <f>IF(ISNUMBER(((Datos!L14/Datos!K14)*11)/factor_trimestre),((Datos!L14/Datos!K14)*11)/factor_trimestre," - ")</f>
        <v>15.90249877511024</v>
      </c>
      <c r="BI14" s="1046">
        <f>IF(ISNUMBER('Resol  Asuntos'!D14/NºAsuntos!G14),'Resol  Asuntos'!D14/NºAsuntos!G14," - ")</f>
        <v>0.36990740740740741</v>
      </c>
      <c r="BJ14" s="1046" t="str">
        <f>IF(ISNUMBER(Datos!CI14/Datos!CJ14),Datos!CI14/Datos!CJ14," - ")</f>
        <v xml:space="preserve"> - </v>
      </c>
      <c r="BK14" s="1046">
        <f>SUBTOTAL(9,BK8:BK13)</f>
        <v>0</v>
      </c>
      <c r="BL14" s="1046">
        <f>IF(ISNUMBER((I14-AB14+L14)/(F14)),(I14-AB14+L14)/(F14)," - ")</f>
        <v>-0.4</v>
      </c>
      <c r="BM14" s="1051">
        <f>SUBTOTAL(9,BM9:BM13)</f>
        <v>-0.12687494469898938</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831</v>
      </c>
      <c r="G16" s="651">
        <f>IF(ISNUMBER(IF(D_I="SI",Datos!I16,Datos!I16+Datos!AC16)),IF(D_I="SI",Datos!I16,Datos!I16+Datos!AC16)," - ")</f>
        <v>830</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157</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1489</v>
      </c>
      <c r="AC16" s="231">
        <f>IF(ISNUMBER(Datos!Q16),Datos!Q16," - ")</f>
        <v>112</v>
      </c>
      <c r="AD16" s="344"/>
      <c r="AE16" s="516"/>
      <c r="AF16" s="649">
        <f>IF(ISNUMBER(IF(D_I="SI",Datos!L16,Datos!L16+Datos!AF16)),IF(D_I="SI",Datos!L16,Datos!L16+Datos!AF16)," - ")</f>
        <v>888</v>
      </c>
      <c r="AG16" s="344"/>
      <c r="AH16" s="344"/>
      <c r="AI16" s="344"/>
      <c r="AJ16" s="504"/>
      <c r="AK16" s="344"/>
      <c r="AL16" s="500"/>
      <c r="AM16" s="345">
        <f>IF(ISNUMBER(Datos!R16),Datos!R16," - ")</f>
        <v>244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203</v>
      </c>
      <c r="BD16" s="234">
        <f>IF(ISNUMBER(Datos!N16),Datos!N16," - ")</f>
        <v>979</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0.96313065976714096</v>
      </c>
      <c r="BH16" s="670">
        <f>IF(ISNUMBER(((IF(D_I="SI",Datos!L16/Datos!K16,(Datos!L16+Datos!AF16)/(Datos!K16+Datos!AE16)))*11)/factor_trimestre),((IF(D_I="SI",Datos!L16/Datos!K16,(Datos!L16+Datos!AF16)/(Datos!K16+Datos!AE16)))*11)/factor_trimestre," - ")</f>
        <v>1.7891202149093353</v>
      </c>
      <c r="BI16" s="248">
        <f>IF(ISNUMBER('Resol  Asuntos'!D16/NºAsuntos!G16),'Resol  Asuntos'!D16/NºAsuntos!G16," - ")</f>
        <v>0.13633310946944258</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198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105</v>
      </c>
      <c r="AC18" s="502">
        <f>IF(ISNUMBER(Datos!Q18),Datos!Q18," - ")</f>
        <v>5</v>
      </c>
      <c r="AD18" s="504"/>
      <c r="AE18" s="516"/>
      <c r="AF18" s="506">
        <f>IF(ISNUMBER(Datos!L18),Datos!L18,"-")</f>
        <v>215</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65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0.86065573770491799</v>
      </c>
      <c r="BH18" s="670">
        <f>IF(ISNUMBER(((IF(D_I="SI",Datos!L18/Datos!K18,(Datos!L18+Datos!AF18)/(Datos!K18+Datos!AE18)))*11)/factor_trimestre),((IF(D_I="SI",Datos!L18/Datos!K18,(Datos!L18+Datos!AF18)/(Datos!K18+Datos!AE18)))*11)/factor_trimestre," - ")</f>
        <v>6.1428571428571423</v>
      </c>
      <c r="BI18" s="669">
        <f>IF(ISNUMBER('Resol  Asuntos'!D18/NºAsuntos!G18),'Resol  Asuntos'!D18/NºAsuntos!G18," - ")</f>
        <v>0.10476190476190476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831</v>
      </c>
      <c r="G20" s="1045">
        <f>SUBTOTAL(9,G16:G19)</f>
        <v>1028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159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1594</v>
      </c>
      <c r="AC20" s="1046">
        <f t="shared" si="5"/>
        <v>117</v>
      </c>
      <c r="AD20" s="1046">
        <f t="shared" si="5"/>
        <v>0</v>
      </c>
      <c r="AE20" s="1046">
        <f t="shared" si="5"/>
        <v>0</v>
      </c>
      <c r="AF20" s="1046">
        <f t="shared" si="5"/>
        <v>1103</v>
      </c>
      <c r="AG20" s="1046">
        <f t="shared" si="5"/>
        <v>0</v>
      </c>
      <c r="AH20" s="1046">
        <f t="shared" si="5"/>
        <v>0</v>
      </c>
      <c r="AI20" s="1046">
        <f t="shared" si="5"/>
        <v>0</v>
      </c>
      <c r="AJ20" s="1046">
        <f t="shared" si="5"/>
        <v>0</v>
      </c>
      <c r="AK20" s="1046">
        <f t="shared" si="5"/>
        <v>0</v>
      </c>
      <c r="AL20" s="1046">
        <f t="shared" si="5"/>
        <v>0</v>
      </c>
      <c r="AM20" s="1046">
        <f t="shared" si="5"/>
        <v>250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214</v>
      </c>
      <c r="BD20" s="1046">
        <f t="shared" si="5"/>
        <v>1044</v>
      </c>
      <c r="BE20" s="1046">
        <f t="shared" si="5"/>
        <v>0</v>
      </c>
      <c r="BF20" s="1046">
        <f t="shared" si="5"/>
        <v>0</v>
      </c>
      <c r="BG20" s="1046">
        <f>IF(ISNUMBER(Datos!K20/Datos!J20),Datos!K20/Datos!J20," - ")</f>
        <v>0.95563549160671468</v>
      </c>
      <c r="BH20" s="1050">
        <f>IF(ISNUMBER(((Datos!L20/Datos!K20)*11)/factor_trimestre),((Datos!L20/Datos!K20)*11)/factor_trimestre," - ")</f>
        <v>2.0759096612296113</v>
      </c>
      <c r="BI20" s="1046">
        <f>SUBTOTAL(9,BI16:BI19)</f>
        <v>0.24109501423134733</v>
      </c>
      <c r="BJ20" s="1046">
        <f>SUBTOTAL(9,BJ16:BJ19)</f>
        <v>0</v>
      </c>
      <c r="BK20" s="1046">
        <f>SUBTOTAL(9,BK16:BK19)</f>
        <v>0</v>
      </c>
      <c r="BL20" s="1046">
        <f>IF(ISNUMBER((I20-AB20+L20)/(F20)),(I20-AB20+L20)/(F20)," - ")</f>
        <v>-1.9181708784596871</v>
      </c>
      <c r="BM20" s="1052">
        <f>IF(ISNUMBER((Datos!P20-Datos!Q20)/(Datos!R20-Datos!P20+Datos!Q20)),(Datos!P20-Datos!Q20)/(Datos!R20-Datos!P20+Datos!Q20)," - ")</f>
        <v>0.20192307692307693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12</v>
      </c>
      <c r="F21" s="967">
        <f t="shared" si="7"/>
        <v>891</v>
      </c>
      <c r="G21" s="967">
        <f t="shared" si="7"/>
        <v>1088</v>
      </c>
      <c r="H21" s="969">
        <f t="shared" si="7"/>
        <v>0</v>
      </c>
      <c r="I21" s="967">
        <f t="shared" si="7"/>
        <v>0</v>
      </c>
      <c r="J21" s="969">
        <f t="shared" si="7"/>
        <v>0</v>
      </c>
      <c r="K21" s="969">
        <f t="shared" si="7"/>
        <v>0</v>
      </c>
      <c r="L21" s="1028">
        <f t="shared" si="7"/>
        <v>0</v>
      </c>
      <c r="M21" s="1028">
        <f t="shared" si="7"/>
        <v>0</v>
      </c>
      <c r="N21" s="1028">
        <f t="shared" si="7"/>
        <v>88</v>
      </c>
      <c r="O21" s="1028">
        <f t="shared" si="7"/>
        <v>0</v>
      </c>
      <c r="P21" s="1028">
        <f t="shared" si="7"/>
        <v>0</v>
      </c>
      <c r="Q21" s="969">
        <f t="shared" si="7"/>
        <v>456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1618</v>
      </c>
      <c r="AC21" s="968">
        <f t="shared" si="8"/>
        <v>938</v>
      </c>
      <c r="AD21" s="968">
        <f t="shared" si="8"/>
        <v>0</v>
      </c>
      <c r="AE21" s="968">
        <f t="shared" si="8"/>
        <v>0</v>
      </c>
      <c r="AF21" s="975">
        <f t="shared" si="8"/>
        <v>1155</v>
      </c>
      <c r="AG21" s="975">
        <f t="shared" si="8"/>
        <v>0</v>
      </c>
      <c r="AH21" s="975">
        <f t="shared" si="8"/>
        <v>296</v>
      </c>
      <c r="AI21" s="975">
        <f t="shared" si="8"/>
        <v>0</v>
      </c>
      <c r="AJ21" s="968">
        <f t="shared" si="8"/>
        <v>0</v>
      </c>
      <c r="AK21" s="975">
        <f t="shared" si="8"/>
        <v>0</v>
      </c>
      <c r="AL21" s="975">
        <f t="shared" si="8"/>
        <v>0</v>
      </c>
      <c r="AM21" s="975">
        <f t="shared" si="8"/>
        <v>7636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1013</v>
      </c>
      <c r="BD21" s="967">
        <f t="shared" si="8"/>
        <v>1656</v>
      </c>
      <c r="BE21" s="967">
        <f t="shared" si="8"/>
        <v>0</v>
      </c>
      <c r="BF21" s="977">
        <f t="shared" si="8"/>
        <v>0</v>
      </c>
      <c r="BG21" s="1062">
        <f>IF(ISNUMBER(Datos!K21/Datos!J21),Datos!K21/Datos!J21," - ")</f>
        <v>1.3472942920681987</v>
      </c>
      <c r="BH21" s="1062">
        <f>IF(ISNUMBER(((Datos!L21/Datos!K21)*11)/factor_trimestre),((Datos!L21/Datos!K21)*11)/factor_trimestre," - ")</f>
        <v>9.8393397524071524</v>
      </c>
      <c r="BI21" s="960">
        <f>IF(ISNUMBER(Datos!J21/Datos!I21),Datos!J21/Datos!I21," - ")</f>
        <v>0.20984677607528973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-1.8159371492704826</v>
      </c>
      <c r="BM21" s="1036">
        <f>IF(ISNUMBER((Datos!P21-Datos!Q21+R21)/(Datos!R21-Datos!P21+Datos!Q21-R21)),(Datos!P21-Datos!Q21+R21)/(Datos!R21-Datos!P21+Datos!Q21-R21)," - ")</f>
        <v>-5.9374230105937426E-2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435.2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2.7502066038093145</v>
      </c>
      <c r="F23" s="600">
        <f>IF(ISNUMBER(STDEV(F8:F20)),STDEV(F8:F20),"-")</f>
        <v>445.13705754520146</v>
      </c>
      <c r="G23" s="601">
        <f>IF(ISNUMBER(STDEV(G8:G20)),STDEV(G8:G20),"-")</f>
        <v>459.6446453511669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817.89284139182928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367.43416643892368</v>
      </c>
      <c r="BD23" s="600"/>
      <c r="BE23" s="600">
        <f>IF(ISNUMBER(STDEV(BE8:BE20)),STDEV(BE8:BE20),"-")</f>
        <v>0</v>
      </c>
      <c r="BF23" s="605">
        <f>IF(ISNUMBER(STDEV(BF8:BF20)),STDEV(BF8:BF20),"-")</f>
        <v>0</v>
      </c>
      <c r="BG23" s="915">
        <f>IF(ISNUMBER(STDEV(BG8:BG20)),STDEV(BG8:BG20),"-")</f>
        <v>0.51194847355158024</v>
      </c>
      <c r="BH23" s="919">
        <f>IF(ISNUMBER(STDEV(BH8:BH20)),STDEV(BH8:BH20),"-")</f>
        <v>6.3029858547200615</v>
      </c>
      <c r="BI23" s="254">
        <f>IF(ISNUMBER(STDEV(BI8:BI20)),STDEV(BI8:BI20),"-")</f>
        <v>0.11972546278177698</v>
      </c>
      <c r="BJ23" s="235" t="str">
        <f>IF(ISNUMBER(BL23/BM23),BL23/BM23," - ")</f>
        <v xml:space="preserve"> - </v>
      </c>
      <c r="BK23" s="627"/>
      <c r="BL23" s="608">
        <f>IF(ISNUMBER(STDEV(BL8:BL20)),STDEV(BL8:BL20),"-")</f>
        <v>1.0735089231587829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15AHLVWJSV+gq4IYorFEAw58A5fmzMOonYfZWV0BSxSZ4IhxiWlFALHNtYFzDOVFGSIDzJZvsb2uwoPEmaY7Ow==" saltValue="LqnD1WFjE8ii6fLQ5xrY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CADIZ</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293</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815</v>
      </c>
      <c r="AA9" s="506" t="str">
        <f>IF(ISNUMBER(IF(J_V="SI",Datos!L9,Datos!L9+Datos!AB9)-IF(Monitorios="SI",Datos!CD9,0)),
                          IF(J_V="SI",Datos!L9,Datos!L9+Datos!AB9)-IF(Monitorios="SI",Datos!CD9,0),
                          " - ")</f>
        <v xml:space="preserve"> - </v>
      </c>
      <c r="AB9" s="504"/>
      <c r="AC9" s="504"/>
      <c r="AD9" s="517"/>
      <c r="AE9" s="517">
        <f>IF(ISNUMBER(Datos!R9),Datos!R9," - ")</f>
        <v>7355</v>
      </c>
      <c r="AF9" s="620" t="str">
        <f>IF(ISNUMBER(Datos!BV9),Datos!BV9," - ")</f>
        <v xml:space="preserve"> - </v>
      </c>
      <c r="AG9" s="507" t="str">
        <f>IF(ISNUMBER(Datos!DV9),Datos!DV9," - ")</f>
        <v xml:space="preserve"> - </v>
      </c>
      <c r="AH9" s="508"/>
      <c r="AI9" s="509"/>
      <c r="AJ9" s="507">
        <f>IF(ISNUMBER(Datos!M9),Datos!M9," - ")</f>
        <v>796</v>
      </c>
      <c r="AK9" s="620">
        <f>IF(ISNUMBER(Datos!N9),Datos!N9," - ")</f>
        <v>600</v>
      </c>
      <c r="AL9" s="620" t="str">
        <f>IF(ISNUMBER(Datos!BW9),Datos!BW9," - ")</f>
        <v xml:space="preserve"> - </v>
      </c>
      <c r="AM9" s="668" t="str">
        <f>IF(ISNUMBER(Datos!BX9),Datos!BX9," - ")</f>
        <v xml:space="preserve"> - </v>
      </c>
      <c r="AN9" s="669"/>
      <c r="AO9" s="670">
        <f>IF(ISNUMBER(((NºAsuntos!I9/NºAsuntos!G9)*11)/factor_trimestre),((NºAsuntos!I9/NºAsuntos!G9)*11)/factor_trimestre," - ")</f>
        <v>15.537921348314606</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-6.6268884092928776E-2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60</v>
      </c>
      <c r="G10" s="507">
        <f>IF(ISNUMBER(Datos!I10),Datos!I10," - ")</f>
        <v>60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24</v>
      </c>
      <c r="Z10" s="704">
        <f>IF(ISNUMBER(Datos!Q10),Datos!Q10," - ")</f>
        <v>6</v>
      </c>
      <c r="AA10" s="506">
        <f>IF(ISNUMBER(Datos!L10),Datos!L10,"-")</f>
        <v>52</v>
      </c>
      <c r="AB10" s="504"/>
      <c r="AC10" s="504"/>
      <c r="AD10" s="517"/>
      <c r="AE10" s="517">
        <f>IF(ISNUMBER(Datos!R10),Datos!R10," - ")</f>
        <v>31</v>
      </c>
      <c r="AF10" s="620" t="str">
        <f>IF(ISNUMBER(Datos!BV10),Datos!BV10," - ")</f>
        <v xml:space="preserve"> - </v>
      </c>
      <c r="AG10" s="507" t="str">
        <f>IF(ISNUMBER(Datos!DV10),Datos!DV10," - ")</f>
        <v xml:space="preserve"> - </v>
      </c>
      <c r="AH10" s="508"/>
      <c r="AI10" s="509"/>
      <c r="AJ10" s="507">
        <f>IF(ISNUMBER(Datos!M10),Datos!M10," - ")</f>
        <v>3</v>
      </c>
      <c r="AK10" s="620">
        <f>IF(ISNUMBER(Datos!N10),Datos!N10," - ")</f>
        <v>12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-6.0606060606060608E-2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60</v>
      </c>
      <c r="G14" s="1045">
        <f>SUBTOTAL(9,G8:G13)</f>
        <v>60</v>
      </c>
      <c r="H14" s="1055"/>
      <c r="I14" s="1045">
        <f t="shared" ref="I14:N14" si="1">SUBTOTAL(9,I8:I13)</f>
        <v>0</v>
      </c>
      <c r="J14" s="1014">
        <f t="shared" si="1"/>
        <v>0</v>
      </c>
      <c r="K14" s="1055">
        <f t="shared" si="1"/>
        <v>0</v>
      </c>
      <c r="L14" s="1055">
        <f t="shared" si="1"/>
        <v>0</v>
      </c>
      <c r="M14" s="1055">
        <f t="shared" si="1"/>
        <v>0</v>
      </c>
      <c r="N14" s="1055">
        <f t="shared" si="1"/>
        <v>297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24</v>
      </c>
      <c r="Z14" s="1054">
        <f t="shared" si="3"/>
        <v>821</v>
      </c>
      <c r="AA14" s="1047">
        <f t="shared" si="3"/>
        <v>52</v>
      </c>
      <c r="AB14" s="1047">
        <f t="shared" si="3"/>
        <v>0</v>
      </c>
      <c r="AC14" s="1047">
        <f t="shared" si="3"/>
        <v>0</v>
      </c>
      <c r="AD14" s="1047">
        <f t="shared" si="3"/>
        <v>0</v>
      </c>
      <c r="AE14" s="1047">
        <f t="shared" si="3"/>
        <v>7386</v>
      </c>
      <c r="AF14" s="1055">
        <f t="shared" si="3"/>
        <v>0</v>
      </c>
      <c r="AG14" s="1055">
        <f t="shared" si="3"/>
        <v>0</v>
      </c>
      <c r="AH14" s="1055">
        <f t="shared" si="3"/>
        <v>0</v>
      </c>
      <c r="AI14" s="1055">
        <f t="shared" si="3"/>
        <v>0</v>
      </c>
      <c r="AJ14" s="1055">
        <f t="shared" si="3"/>
        <v>799</v>
      </c>
      <c r="AK14" s="1055">
        <f t="shared" si="3"/>
        <v>612</v>
      </c>
      <c r="AL14" s="1055">
        <f t="shared" si="3"/>
        <v>0</v>
      </c>
      <c r="AM14" s="1055">
        <f t="shared" si="3"/>
        <v>0</v>
      </c>
      <c r="AN14" s="1055">
        <f t="shared" si="3"/>
        <v>0</v>
      </c>
      <c r="AO14" s="1051">
        <f>IF(ISNUMBER(((NºAsuntos!I14/NºAsuntos!G14)*11)/factor_trimestre),((NºAsuntos!I14/NºAsuntos!G14)*11)/factor_trimestre," - ")</f>
        <v>15.4375</v>
      </c>
      <c r="AP14" s="1057" t="str">
        <f>IF(ISNUMBER(Datos!CI14/Datos!CJ14),Datos!CI14/Datos!CJ14," - ")</f>
        <v xml:space="preserve"> - </v>
      </c>
      <c r="AQ14" s="1075">
        <f t="shared" ref="AQ14:AV14" si="4">SUBTOTAL(9,AQ9:AQ13)</f>
        <v>0</v>
      </c>
      <c r="AR14" s="1075">
        <f t="shared" si="4"/>
        <v>-0.12687494469898938</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831</v>
      </c>
      <c r="G16" s="507">
        <f>IF(ISNUMBER(IF(D_I="SI",Datos!I16,Datos!I16+Datos!AC16)),IF(D_I="SI",Datos!I16,Datos!I16+Datos!AC16)," - ")</f>
        <v>830</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157</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1489</v>
      </c>
      <c r="Z16" s="704">
        <f>IF(ISNUMBER(Datos!Q16),Datos!Q16," - ")</f>
        <v>112</v>
      </c>
      <c r="AA16" s="506">
        <f>IF(ISNUMBER(IF(D_I="SI",Datos!L16,Datos!L16+Datos!AF16)),IF(D_I="SI",Datos!L16,Datos!L16+Datos!AF16)," - ")</f>
        <v>888</v>
      </c>
      <c r="AB16" s="504"/>
      <c r="AC16" s="504"/>
      <c r="AD16" s="517"/>
      <c r="AE16" s="517">
        <f>IF(ISNUMBER(Datos!R16),Datos!R16," - ")</f>
        <v>244</v>
      </c>
      <c r="AF16" s="620" t="str">
        <f>IF(ISNUMBER(Datos!BV16),Datos!BV16," - ")</f>
        <v xml:space="preserve"> - </v>
      </c>
      <c r="AG16" s="507"/>
      <c r="AH16" s="508"/>
      <c r="AI16" s="509"/>
      <c r="AJ16" s="507">
        <f>IF(ISNUMBER(Datos!M16),Datos!M16," - ")</f>
        <v>203</v>
      </c>
      <c r="AK16" s="620">
        <f>IF(ISNUMBER(Datos!N16),Datos!N16," - ")</f>
        <v>979</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1.7891202149093353</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198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105</v>
      </c>
      <c r="Z18" s="704">
        <f>IF(ISNUMBER(Datos!Q18),Datos!Q18," - ")</f>
        <v>5</v>
      </c>
      <c r="AA18" s="506">
        <f>IF(ISNUMBER(Datos!L18),Datos!L18,"-")</f>
        <v>215</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11</v>
      </c>
      <c r="AK18" s="620">
        <f>IF(ISNUMBER(Datos!N18),Datos!N18," - ")</f>
        <v>65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6.1428571428571423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831</v>
      </c>
      <c r="G20" s="1045">
        <f>SUBTOTAL(9,G16:G19)</f>
        <v>1028</v>
      </c>
      <c r="H20" s="1079">
        <f>SUBTOTAL(9,H16:H19)</f>
        <v>0</v>
      </c>
      <c r="I20" s="1058">
        <f>SUBTOTAL(9,I16:I19)</f>
        <v>0</v>
      </c>
      <c r="J20" s="1014">
        <f>SUBTOTAL(9,J15:J19)</f>
        <v>0</v>
      </c>
      <c r="K20" s="1079">
        <f t="shared" ref="K20:S20" si="5">SUBTOTAL(9,K16:K19)</f>
        <v>0</v>
      </c>
      <c r="L20" s="1079">
        <f t="shared" si="5"/>
        <v>0</v>
      </c>
      <c r="M20" s="1079">
        <f t="shared" si="5"/>
        <v>0</v>
      </c>
      <c r="N20" s="1079">
        <f t="shared" si="5"/>
        <v>159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1594</v>
      </c>
      <c r="Z20" s="1079">
        <f t="shared" si="6"/>
        <v>117</v>
      </c>
      <c r="AA20" s="1079">
        <f t="shared" si="6"/>
        <v>1103</v>
      </c>
      <c r="AB20" s="1079">
        <f t="shared" si="6"/>
        <v>0</v>
      </c>
      <c r="AC20" s="1079">
        <f t="shared" si="6"/>
        <v>0</v>
      </c>
      <c r="AD20" s="1079">
        <f t="shared" si="6"/>
        <v>0</v>
      </c>
      <c r="AE20" s="1079">
        <f t="shared" si="6"/>
        <v>250</v>
      </c>
      <c r="AF20" s="1079">
        <f t="shared" si="6"/>
        <v>0</v>
      </c>
      <c r="AG20" s="1079">
        <f t="shared" si="6"/>
        <v>0</v>
      </c>
      <c r="AH20" s="1079">
        <f t="shared" si="6"/>
        <v>0</v>
      </c>
      <c r="AI20" s="1079">
        <f t="shared" si="6"/>
        <v>0</v>
      </c>
      <c r="AJ20" s="1079">
        <f t="shared" si="6"/>
        <v>214</v>
      </c>
      <c r="AK20" s="1079">
        <f t="shared" si="6"/>
        <v>1044</v>
      </c>
      <c r="AL20" s="1079">
        <f t="shared" si="6"/>
        <v>0</v>
      </c>
      <c r="AM20" s="1079">
        <f t="shared" si="6"/>
        <v>0</v>
      </c>
      <c r="AN20" s="1079">
        <f t="shared" si="6"/>
        <v>0</v>
      </c>
      <c r="AO20" s="1081">
        <f>IF(ISNUMBER(((NºAsuntos!I20/NºAsuntos!G20)*11)/factor_trimestre),((NºAsuntos!I20/NºAsuntos!G20)*11)/factor_trimestre," - ")</f>
        <v>2.0759096612296113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12</v>
      </c>
      <c r="F21" s="967">
        <f t="shared" si="8"/>
        <v>891</v>
      </c>
      <c r="G21" s="967">
        <f t="shared" si="8"/>
        <v>1088</v>
      </c>
      <c r="H21" s="968">
        <f t="shared" si="8"/>
        <v>0</v>
      </c>
      <c r="I21" s="967">
        <f t="shared" si="8"/>
        <v>0</v>
      </c>
      <c r="J21" s="969">
        <f t="shared" si="8"/>
        <v>0</v>
      </c>
      <c r="K21" s="967">
        <f t="shared" si="8"/>
        <v>0</v>
      </c>
      <c r="L21" s="970">
        <f t="shared" si="8"/>
        <v>0</v>
      </c>
      <c r="M21" s="967">
        <f t="shared" si="8"/>
        <v>0</v>
      </c>
      <c r="N21" s="968">
        <f t="shared" si="8"/>
        <v>456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1618</v>
      </c>
      <c r="Z21" s="974">
        <f t="shared" si="9"/>
        <v>938</v>
      </c>
      <c r="AA21" s="975">
        <f t="shared" si="9"/>
        <v>1155</v>
      </c>
      <c r="AB21" s="975">
        <f t="shared" si="9"/>
        <v>0</v>
      </c>
      <c r="AC21" s="975">
        <f t="shared" si="9"/>
        <v>0</v>
      </c>
      <c r="AD21" s="976">
        <f t="shared" si="9"/>
        <v>0</v>
      </c>
      <c r="AE21" s="976">
        <f t="shared" si="9"/>
        <v>7636</v>
      </c>
      <c r="AF21" s="977">
        <f t="shared" si="9"/>
        <v>0</v>
      </c>
      <c r="AG21" s="978">
        <f t="shared" si="9"/>
        <v>0</v>
      </c>
      <c r="AH21" s="979">
        <f t="shared" si="9"/>
        <v>0</v>
      </c>
      <c r="AI21" s="977">
        <f t="shared" si="9"/>
        <v>0</v>
      </c>
      <c r="AJ21" s="967">
        <f t="shared" si="9"/>
        <v>1013</v>
      </c>
      <c r="AK21" s="967">
        <f t="shared" si="9"/>
        <v>1656</v>
      </c>
      <c r="AL21" s="967">
        <f t="shared" si="9"/>
        <v>0</v>
      </c>
      <c r="AM21" s="980">
        <f t="shared" si="9"/>
        <v>0</v>
      </c>
      <c r="AN21" s="970">
        <f>IF(ISNUMBER(Datos!K21/Datos!J21),Datos!K21/Datos!J21," - ")</f>
        <v>1.3472942920681987</v>
      </c>
      <c r="AO21" s="970">
        <f>IF(ISNUMBER(FIND("06",Criterios!A8,1)),(IF(ISNUMBER(((Datos!R21/Datos!Q21)*11)/factor_trimestre),((Datos!R21/Datos!Q21)*11)/factor_trimestre," - ")),(IF(ISNUMBER(((Datos!L21/Datos!K21)*11)/factor_trimestre),((Datos!L21/Datos!K21)*11)/factor_trimestre," - ")))</f>
        <v>9.8393397524071524</v>
      </c>
      <c r="AP21" s="981" t="str">
        <f>IF(ISNUMBER(Datos!CI21/Datos!CJ21),Datos!CI21/Datos!CJ21," - ")</f>
        <v xml:space="preserve"> - </v>
      </c>
      <c r="AQ21" s="981">
        <f>IF(OR(ISNUMBER(FIND("01",Criterios!A8,1)),ISNUMBER(FIND("02",Criterios!A8,1)),ISNUMBER(FIND("03",Criterios!A8,1)),ISNUMBER(FIND("04",Criterios!A8,1))),(J21-Y21+K21)/(F21-K21),(I21-Y21+K21)/(F21-K21))</f>
        <v>-1.8159371492704826</v>
      </c>
      <c r="AR21" s="981">
        <f>IF(ISNUMBER((Datos!P21-Datos!Q21+O21)/(Datos!R21-Datos!P21+Datos!Q21-O21)),(Datos!P21-Datos!Q21+O21)/(Datos!R21-Datos!P21+Datos!Q21-O21)," - ")</f>
        <v>-5.9374230105937426E-2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435.2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445.13705754520146</v>
      </c>
      <c r="G23" s="601">
        <f>IF(ISNUMBER(STDEV(G8:G20)),STDEV(G8:G20),"-")</f>
        <v>459.6446453511669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367.43416643892368</v>
      </c>
      <c r="AK23" s="257"/>
      <c r="AL23" s="257">
        <f>IF(ISNUMBER(STDEV(AL8:AL20)),STDEV(AL8:AL20),"-")</f>
        <v>0</v>
      </c>
      <c r="AM23" s="259">
        <f>IF(ISNUMBER(STDEV(AM8:AM20)),STDEV(AM8:AM20),"-")</f>
        <v>0</v>
      </c>
      <c r="AN23" s="587">
        <f>IF(ISNUMBER(STDEV(AN8:AN20)),STDEV(AN8:AN20),"-")</f>
        <v>0</v>
      </c>
      <c r="AO23" s="588">
        <f>IF(ISNUMBER(STDEV(AO8:AO20)),STDEV(AO8:AO20),"-")</f>
        <v>6.188069539063469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2n9xotYvi0lLruv8d1u0UIxK5XfEHe2ROIA1eMn4bAOUN4cbGrp0zoPeFGN6p47vxPOPaLYoL6gRIR1XGaNTyA==" saltValue="kVibikUJ27WVs88TjhVV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U+fNa3gHatGJR7lLyuuHiUCirlDgApwXk/Jzekfkjg2geXpM9lfmmOOF90sgjavLo7oP7l36fmBYP2FFkDcoTg==" saltValue="jBWCSKvZOabizzPMaKA1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RmDGdrFy3D4TM6my+5jg5gKCnFP/X278aHr4L2T21BkYp/Xf68G9tRbHhE/BmXbMT/hopIqtd9JLe1Zt+tOuQ==" saltValue="uJ+142xE6LzkFMUUwI3i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CADIZ</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0.36990740740740741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0.26156403618891272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lDJ8NMuhSgsND0Pt8p8CASnp1xZDrp+884tWIppVeUaOReJliQQOGqfI3VI1In+A3CYary8eySRYafc6oet6w==" saltValue="e/Ethm291IwDx21G9O+O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50nvQlIHgCCFCfvKSxYGyADP4w+h8a8YlYBX5nNwNf/todRpNTnweUu2HnefQQ3pxdElIBQXAlesFHBOsc2PqA==" saltValue="xSM5/WH8o+u4cLbQV0aT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CADIZ</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12096</v>
      </c>
      <c r="D9" s="416">
        <f>IF(ISNUMBER(C9/Datos!BH9),C9/Datos!BH9," - ")</f>
        <v>2016</v>
      </c>
      <c r="E9" s="415">
        <f>IF(ISNUMBER(IF(J_V="SI",Datos!J9,Datos!J9+Datos!Z9)),IF(J_V="SI",Datos!J9,Datos!J9+Datos!Z9)," - ")</f>
        <v>1102</v>
      </c>
      <c r="F9" s="416">
        <f>IF(ISNUMBER(E9/B9),E9/B9," - ")</f>
        <v>183.66666666666666</v>
      </c>
      <c r="G9" s="415">
        <f>IF(ISNUMBER(IF(J_V="SI",Datos!K9,Datos!K9+Datos!AA9)),IF(J_V="SI",Datos!K9,Datos!K9+Datos!AA9)," - ")</f>
        <v>2136</v>
      </c>
      <c r="H9" s="416">
        <f>IF(ISNUMBER(G9/B9),G9/B9," - ")</f>
        <v>356</v>
      </c>
      <c r="I9" s="415">
        <f>IF(ISNUMBER(IF(J_V="SI",Datos!L9,Datos!L9+Datos!AB9)),IF(J_V="SI",Datos!L9,Datos!L9+Datos!AB9)," - ")</f>
        <v>11063</v>
      </c>
      <c r="J9" s="416">
        <f>IF(ISNUMBER(I9/B9),I9/B9," - ")</f>
        <v>1843.8333333333333</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60</v>
      </c>
      <c r="D10" s="416">
        <f>IF(ISNUMBER(C10/Datos!BH10),C10/Datos!BH10," - ")</f>
        <v>60</v>
      </c>
      <c r="E10" s="415">
        <f>IF(ISNUMBER(Datos!J10),Datos!J10," - ")</f>
        <v>16</v>
      </c>
      <c r="F10" s="416">
        <f>IF(ISNUMBER(E10/B10),E10/B10," - ")</f>
        <v>16</v>
      </c>
      <c r="G10" s="415">
        <f>IF(ISNUMBER(Datos!K10),Datos!K10," - ")</f>
        <v>24</v>
      </c>
      <c r="H10" s="416">
        <f>IF(ISNUMBER(G10/B10),G10/B10," - ")</f>
        <v>24</v>
      </c>
      <c r="I10" s="415">
        <f>IF(ISNUMBER(Datos!L10),Datos!L10," - ")</f>
        <v>52</v>
      </c>
      <c r="J10" s="416">
        <f>IF(ISNUMBER(I10/B10),I10/B10," - ")</f>
        <v>52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12156</v>
      </c>
      <c r="D14" s="997" t="str">
        <f>IF(ISNUMBER(C14/Datos!BI14),C14/Datos!BI14," - ")</f>
        <v xml:space="preserve"> - </v>
      </c>
      <c r="E14" s="996">
        <f>SUBTOTAL(9,E8:E13)</f>
        <v>1118</v>
      </c>
      <c r="F14" s="997">
        <f>IF(ISNUMBER(E14/B14),E14/B14," - ")</f>
        <v>159.71428571428572</v>
      </c>
      <c r="G14" s="996">
        <f>SUBTOTAL(9,G8:G13)</f>
        <v>2160</v>
      </c>
      <c r="H14" s="997">
        <f>IF(ISNUMBER(G14/B14),G14/B14," - ")</f>
        <v>308.57142857142856</v>
      </c>
      <c r="I14" s="996">
        <f>SUBTOTAL(9,I8:I13)</f>
        <v>11115</v>
      </c>
      <c r="J14" s="997">
        <f>IF(ISNUMBER(I14/B14),I14/B14," - ")</f>
        <v>1587.8571428571429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830</v>
      </c>
      <c r="D16" s="416">
        <f>IF(ISNUMBER(C16/Datos!BH16),C16/Datos!BH16," - ")</f>
        <v>207.5</v>
      </c>
      <c r="E16" s="415">
        <f>IF(ISNUMBER(IF(D_I="SI",Datos!J16,Datos!J16+Datos!AD16)),IF(D_I="SI",Datos!J16,Datos!J16+Datos!AD16)," - ")</f>
        <v>1546</v>
      </c>
      <c r="F16" s="416">
        <f>IF(ISNUMBER(E16/B16),E16/B16," - ")</f>
        <v>386.5</v>
      </c>
      <c r="G16" s="415">
        <f>IF(ISNUMBER(IF(D_I="SI",Datos!K16,Datos!K16+Datos!AE16)),IF(D_I="SI",Datos!K16,Datos!K16+Datos!AE16)," - ")</f>
        <v>1489</v>
      </c>
      <c r="H16" s="416">
        <f>IF(ISNUMBER(G16/B16),G16/B16," - ")</f>
        <v>372.25</v>
      </c>
      <c r="I16" s="415">
        <f>IF(ISNUMBER(IF(D_I="SI",Datos!L16,Datos!L16+Datos!AF16)),IF(D_I="SI",Datos!L16,Datos!L16+Datos!AF16)," - ")</f>
        <v>888</v>
      </c>
      <c r="J16" s="416">
        <f>IF(ISNUMBER(I16/B16),I16/B16," - ")</f>
        <v>222</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198</v>
      </c>
      <c r="D18" s="416">
        <f>IF(ISNUMBER(C18/Datos!BH18),C18/Datos!BH18," - ")</f>
        <v>198</v>
      </c>
      <c r="E18" s="415">
        <f>IF(ISNUMBER(IF(D_I="SI",Datos!J18,Datos!J18+Datos!AD18)),IF(D_I="SI",Datos!J18,Datos!J18+Datos!AD18)," - ")</f>
        <v>122</v>
      </c>
      <c r="F18" s="416">
        <f>IF(ISNUMBER(E18/B18),E18/B18," - ")</f>
        <v>122</v>
      </c>
      <c r="G18" s="415">
        <f>IF(ISNUMBER(IF(D_I="SI",Datos!K18,Datos!K18+Datos!AE18)),IF(D_I="SI",Datos!K18,Datos!K18+Datos!AE18)," - ")</f>
        <v>105</v>
      </c>
      <c r="H18" s="416">
        <f>IF(ISNUMBER(G18/B18),G18/B18," - ")</f>
        <v>105</v>
      </c>
      <c r="I18" s="415">
        <f>IF(ISNUMBER(IF(D_I="SI",Datos!L18,Datos!L18+Datos!AF18)),IF(D_I="SI",Datos!L18,Datos!L18+Datos!AF18)," - ")</f>
        <v>215</v>
      </c>
      <c r="J18" s="416">
        <f>IF(ISNUMBER(I18/B18),I18/B18," - ")</f>
        <v>215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1028</v>
      </c>
      <c r="D20" s="997" t="str">
        <f>IF(ISNUMBER(C20/Datos!BI20),C20/Datos!BI20," - ")</f>
        <v xml:space="preserve"> - </v>
      </c>
      <c r="E20" s="996">
        <f>SUBTOTAL(9,E15:E19)</f>
        <v>1668</v>
      </c>
      <c r="F20" s="997">
        <f>IF(ISNUMBER(E20/B20),E20/B20," - ")</f>
        <v>333.6</v>
      </c>
      <c r="G20" s="996">
        <f>SUBTOTAL(9,G15:G19)</f>
        <v>1594</v>
      </c>
      <c r="H20" s="997">
        <f>IF(ISNUMBER(G20/B20),G20/B20," - ")</f>
        <v>318.8</v>
      </c>
      <c r="I20" s="996">
        <f>SUBTOTAL(9,I15:I19)</f>
        <v>1103</v>
      </c>
      <c r="J20" s="997">
        <f>IF(ISNUMBER(I20/B20),I20/B20," - ")</f>
        <v>220.6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11</v>
      </c>
      <c r="C21" s="941">
        <f>SUBTOTAL(9,C9:C20)</f>
        <v>13184</v>
      </c>
      <c r="D21" s="942" t="str">
        <f>IF(ISNUMBER(C21/Datos!BI21),C21/Datos!BI21," - ")</f>
        <v xml:space="preserve"> - </v>
      </c>
      <c r="E21" s="941">
        <f>SUBTOTAL(9,E9:E20)</f>
        <v>2786</v>
      </c>
      <c r="F21" s="942">
        <f>IF(ISNUMBER(E21/B21),E21/B21," - ")</f>
        <v>253.27272727272728</v>
      </c>
      <c r="G21" s="941">
        <f>SUBTOTAL(9,G9:G20)</f>
        <v>3754</v>
      </c>
      <c r="H21" s="942">
        <f>IF(ISNUMBER(G21/B21),G21/B21," - ")</f>
        <v>341.27272727272725</v>
      </c>
      <c r="I21" s="941">
        <f>SUBTOTAL(9,I9:I20)</f>
        <v>12218</v>
      </c>
      <c r="J21" s="942">
        <f>IF(ISNUMBER(I21/B21),I21/B21," - ")</f>
        <v>1110.7272727272727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Mw22Lhs75alMe/h/rZwKDqWVW+awC5Ezi7Na99XuXE+Xuijw0jGY/ylQ8ZEaAYFdhYIOZEkaGlGi87p7cdqMw==" saltValue="sbJsHXZOFsnvXXDvPijZl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CADIZ</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60</v>
      </c>
      <c r="G10" s="803">
        <f>IF(ISNUMBER(Datos!I10),Datos!I10," - ")</f>
        <v>60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24</v>
      </c>
      <c r="AC10" s="802" t="str">
        <f>IF(ISNUMBER(IF(D_I="SI",DatosP!K18,DatosP!K18+DatosP!AE18)),IF(D_I="SI",DatosP!K18,DatosP!K18+DatosP!AE18)," - ")</f>
        <v xml:space="preserve"> - </v>
      </c>
      <c r="AD10" s="804"/>
      <c r="AE10" s="804"/>
      <c r="AF10" s="807">
        <f>IF(ISNUMBER(Datos!L10),Datos!L10,"-")</f>
        <v>52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12</v>
      </c>
      <c r="AN10" s="811">
        <f>IF(ISNUMBER(Datos!BW10+DatosP!BW18),Datos!BW10+DatosP!BW18," - ")</f>
        <v>0</v>
      </c>
      <c r="AO10" s="812">
        <f>IF(ISNUMBER(Datos!BX10+DatosP!BX18),Datos!BX10+DatosP!BX18," - ")</f>
        <v>0</v>
      </c>
      <c r="AP10" s="814">
        <f>IF(ISNUMBER(((Datos!L10/Datos!K10)*11)/factor_trimestre),((Datos!L10/Datos!K10)*11)/factor_trimestre," - ")</f>
        <v>6.5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60</v>
      </c>
      <c r="G14" s="1085">
        <f t="shared" si="0"/>
        <v>60</v>
      </c>
      <c r="H14" s="1085">
        <f t="shared" si="0"/>
        <v>0</v>
      </c>
      <c r="I14" s="1087">
        <f t="shared" si="0"/>
        <v>0</v>
      </c>
      <c r="J14" s="1086">
        <f t="shared" si="0"/>
        <v>0</v>
      </c>
      <c r="K14" s="1086">
        <f t="shared" si="0"/>
        <v>0</v>
      </c>
      <c r="L14" s="1088">
        <f t="shared" si="0"/>
        <v>0</v>
      </c>
      <c r="M14" s="1088">
        <f t="shared" si="0"/>
        <v>0</v>
      </c>
      <c r="N14" s="1086">
        <f t="shared" si="0"/>
        <v>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24</v>
      </c>
      <c r="AC14" s="1086">
        <f t="shared" si="1"/>
        <v>0</v>
      </c>
      <c r="AD14" s="1086">
        <f t="shared" si="1"/>
        <v>0</v>
      </c>
      <c r="AE14" s="1086">
        <f t="shared" si="1"/>
        <v>0</v>
      </c>
      <c r="AF14" s="1086">
        <f t="shared" si="1"/>
        <v>52</v>
      </c>
      <c r="AG14" s="1086">
        <f t="shared" si="1"/>
        <v>0</v>
      </c>
      <c r="AH14" s="1086">
        <f t="shared" si="1"/>
        <v>0</v>
      </c>
      <c r="AI14" s="1086">
        <f t="shared" si="1"/>
        <v>0</v>
      </c>
      <c r="AJ14" s="1086">
        <f t="shared" si="1"/>
        <v>0</v>
      </c>
      <c r="AK14" s="1086">
        <f t="shared" si="1"/>
        <v>0</v>
      </c>
      <c r="AL14" s="1086">
        <f t="shared" si="1"/>
        <v>3</v>
      </c>
      <c r="AM14" s="1086">
        <f t="shared" si="1"/>
        <v>12</v>
      </c>
      <c r="AN14" s="1086">
        <f t="shared" si="1"/>
        <v>0</v>
      </c>
      <c r="AO14" s="1086">
        <f t="shared" si="1"/>
        <v>0</v>
      </c>
      <c r="AP14" s="1091">
        <f>IF(ISNUMBER(((Datos!L14/Datos!K14)*11)/factor_trimestre),((Datos!L14/Datos!K14)*11)/factor_trimestre," - ")</f>
        <v>15.90249877511024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2.0759096612296113</v>
      </c>
      <c r="AQ20" s="1091">
        <f>IF(ISNUMBER(((Datos!M20/Datos!L20)*11)/factor_trimestre),((Datos!M20/Datos!L20)*11)/factor_trimestre," - ")</f>
        <v>0.58204895738893936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0.20192307692307693</v>
      </c>
      <c r="AW20" s="1093">
        <f>IF(ISNUMBER((Datos!Q20-Datos!R20)/(Datos!S20-Datos!Q20+Datos!R20)),(Datos!Q20-Datos!R20)/(Datos!S20-Datos!Q20+Datos!R20)," - ")</f>
        <v>-0.14696132596685083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60</v>
      </c>
      <c r="G21" s="1098">
        <f t="shared" si="4"/>
        <v>60</v>
      </c>
      <c r="H21" s="1098">
        <f t="shared" si="4"/>
        <v>0</v>
      </c>
      <c r="I21" s="1099">
        <f t="shared" si="4"/>
        <v>0</v>
      </c>
      <c r="J21" s="1100">
        <f t="shared" si="4"/>
        <v>0</v>
      </c>
      <c r="K21" s="1100">
        <f t="shared" si="4"/>
        <v>0</v>
      </c>
      <c r="L21" s="1100">
        <f t="shared" si="4"/>
        <v>0</v>
      </c>
      <c r="M21" s="1100">
        <f t="shared" si="4"/>
        <v>0</v>
      </c>
      <c r="N21" s="1099">
        <f t="shared" si="4"/>
        <v>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24</v>
      </c>
      <c r="AC21" s="1104">
        <f t="shared" si="5"/>
        <v>0</v>
      </c>
      <c r="AD21" s="1104">
        <f t="shared" si="5"/>
        <v>0</v>
      </c>
      <c r="AE21" s="1104">
        <f t="shared" si="5"/>
        <v>0</v>
      </c>
      <c r="AF21" s="1105">
        <f t="shared" si="5"/>
        <v>52</v>
      </c>
      <c r="AG21" s="1105">
        <f t="shared" si="5"/>
        <v>0</v>
      </c>
      <c r="AH21" s="1105">
        <f t="shared" si="5"/>
        <v>0</v>
      </c>
      <c r="AI21" s="1105">
        <f t="shared" si="5"/>
        <v>0</v>
      </c>
      <c r="AJ21" s="1106">
        <f t="shared" si="5"/>
        <v>0</v>
      </c>
      <c r="AK21" s="1106">
        <f t="shared" si="5"/>
        <v>0</v>
      </c>
      <c r="AL21" s="1098">
        <f t="shared" si="5"/>
        <v>3</v>
      </c>
      <c r="AM21" s="1098">
        <f t="shared" si="5"/>
        <v>12</v>
      </c>
      <c r="AN21" s="1098">
        <f t="shared" si="5"/>
        <v>0</v>
      </c>
      <c r="AO21" s="1098">
        <f t="shared" si="5"/>
        <v>0</v>
      </c>
      <c r="AP21" s="1098">
        <f>IF(ISNUMBER(((Datos!L21/Datos!K21)*11)/factor_trimestre),((Datos!L21/Datos!K21)*11)/factor_trimestre," - ")</f>
        <v>9.8393397524071524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-5.9374230105937426E-2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34.641016151377549</v>
      </c>
      <c r="G23" s="871">
        <f>IF(ISNUMBER(STDEV(G8:G20)),STDEV(G8:G20),"-")</f>
        <v>34.641016151377549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13.856406460551018</v>
      </c>
      <c r="AC23" s="872">
        <f>IF(ISNUMBER(STDEV(AC8:AC20)),STDEV(AC8:AC20),"-")</f>
        <v>0</v>
      </c>
      <c r="AD23" s="875"/>
      <c r="AE23" s="875"/>
      <c r="AF23" s="875"/>
      <c r="AG23" s="875"/>
      <c r="AH23" s="875"/>
      <c r="AI23" s="875"/>
      <c r="AJ23" s="876">
        <f>IF(ISNUMBER(STDEV(AJ8:AJ20)),STDEV(AJ8:AJ20),"-")</f>
        <v>0</v>
      </c>
      <c r="AK23" s="878"/>
      <c r="AL23" s="870">
        <f>IF(ISNUMBER(STDEV(AL8:AL20)),STDEV(AL8:AL20),"-")</f>
        <v>1.7320508075688772</v>
      </c>
      <c r="AM23" s="870"/>
      <c r="AN23" s="870">
        <f>IF(ISNUMBER(STDEV(AN8:AN20)),STDEV(AN8:AN20),"-")</f>
        <v>0</v>
      </c>
      <c r="AO23" s="876">
        <f>IF(ISNUMBER(STDEV(AO8:AO20)),STDEV(AO8:AO20),"-")</f>
        <v>0</v>
      </c>
      <c r="AP23" s="923">
        <f>IF(ISNUMBER(STDEV(AP8:AP20)),STDEV(AP8:AP20),"-")</f>
        <v>7.0610920433224953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A+00dGtYHm56eSLILOcpHVtJuy8BwGZgm2d14tPpONqF9YheZcUvK95V3Sz74YIrEhAEMfcTsuEV2Fdoyj6Q==" saltValue="OAPFzbTsj+FotcFhy2f0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CADIZ</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2WEZCrN1bsCUxJzvU97F+Rjb7QlTFHVaDPFKnACDSh2p90AOq4Z+fRMQjpZmkvWovjuA/Peqt96EAE0wBs+Fzg==" saltValue="PnBjcTUgLZVsju7jwiOF4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CADIZ</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796</v>
      </c>
      <c r="E9" s="416">
        <f t="shared" ref="E9:E14" si="0">IF(ISNUMBER(D9/B9),D9/B9," - ")</f>
        <v>132.66666666666666</v>
      </c>
      <c r="F9" s="415">
        <f>IF(ISNUMBER(Datos!N9),Datos!N9," - ")</f>
        <v>600</v>
      </c>
      <c r="G9" s="416">
        <f t="shared" ref="G9:G14" si="1">IF(ISNUMBER(F9/B9),F9/B9," - ")</f>
        <v>100</v>
      </c>
      <c r="H9" s="415">
        <f>IF(ISNUMBER(Datos!O9),Datos!O9," - ")</f>
        <v>1175</v>
      </c>
      <c r="I9" s="416">
        <f>IF(ISNUMBER(H9/B9),H9/B9," - ")</f>
        <v>195.83333333333334</v>
      </c>
    </row>
    <row r="10" spans="1:9">
      <c r="A10" s="414" t="str">
        <f>Datos!A10</f>
        <v>Jdos. Violencia contra la mujer</v>
      </c>
      <c r="B10" s="444">
        <f>Datos!AO10</f>
        <v>1</v>
      </c>
      <c r="C10" s="422">
        <f>Datos!AQ10</f>
        <v>1</v>
      </c>
      <c r="D10" s="415">
        <f>IF(ISNUMBER(Datos!M10),Datos!M10," - ")</f>
        <v>3</v>
      </c>
      <c r="E10" s="416">
        <f>IF(ISNUMBER(D10/B10),D10/B10," - ")</f>
        <v>3</v>
      </c>
      <c r="F10" s="415">
        <f>IF(ISNUMBER(Datos!N10),Datos!N10," - ")</f>
        <v>12</v>
      </c>
      <c r="G10" s="416">
        <f>IF(ISNUMBER(F10/B10),F10/B10," - ")</f>
        <v>12</v>
      </c>
      <c r="H10" s="415">
        <f>IF(ISNUMBER(Datos!O10),Datos!O10," - ")</f>
        <v>12</v>
      </c>
      <c r="I10" s="416">
        <f t="shared" ref="I10:I13" si="2">IF(ISNUMBER(H10/B10),H10/B10," - ")</f>
        <v>12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799</v>
      </c>
      <c r="E14" s="997">
        <f t="shared" si="0"/>
        <v>114.14285714285714</v>
      </c>
      <c r="F14" s="996">
        <f>SUBTOTAL(9,F9:F13)</f>
        <v>612</v>
      </c>
      <c r="G14" s="997">
        <f t="shared" si="1"/>
        <v>87.428571428571431</v>
      </c>
      <c r="H14" s="996">
        <f>SUBTOTAL(9,H9:H13)</f>
        <v>1187</v>
      </c>
      <c r="I14" s="997">
        <f>IF(ISNUMBER(H14/B14),H14/B14," - ")</f>
        <v>169.57142857142858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203</v>
      </c>
      <c r="E16" s="416">
        <f t="shared" ref="E16:E20" si="3">IF(ISNUMBER(D16/B16),D16/B16," - ")</f>
        <v>50.75</v>
      </c>
      <c r="F16" s="415">
        <f>IF(ISNUMBER(Datos!N16),Datos!N16," - ")</f>
        <v>979</v>
      </c>
      <c r="G16" s="416">
        <f t="shared" ref="G16:G20" si="4">IF(ISNUMBER(F16/B16),F16/B16," - ")</f>
        <v>244.75</v>
      </c>
      <c r="H16" s="415">
        <f>IF(ISNUMBER(Datos!O16),Datos!O16," - ")</f>
        <v>46</v>
      </c>
      <c r="I16" s="416">
        <f t="shared" ref="I16:I19" si="5">IF(ISNUMBER(H16/B16),H16/B16," - ")</f>
        <v>11.5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11</v>
      </c>
      <c r="E18" s="416">
        <f>IF(ISNUMBER(D18/B18),D18/B18," - ")</f>
        <v>11</v>
      </c>
      <c r="F18" s="415">
        <f>IF(ISNUMBER(Datos!N18),Datos!N18," - ")</f>
        <v>65</v>
      </c>
      <c r="G18" s="416">
        <f>IF(ISNUMBER(F18/B18),F18/B18," - ")</f>
        <v>65</v>
      </c>
      <c r="H18" s="415">
        <f>IF(ISNUMBER(Datos!O18),Datos!O18," - ")</f>
        <v>5</v>
      </c>
      <c r="I18" s="416">
        <f t="shared" si="5"/>
        <v>5</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214</v>
      </c>
      <c r="E20" s="997">
        <f t="shared" si="3"/>
        <v>42.8</v>
      </c>
      <c r="F20" s="996">
        <f>SUBTOTAL(9,F16:F19)</f>
        <v>1044</v>
      </c>
      <c r="G20" s="997">
        <f t="shared" si="4"/>
        <v>208.8</v>
      </c>
      <c r="H20" s="996">
        <f>SUBTOTAL(9,H16:H19)</f>
        <v>51</v>
      </c>
      <c r="I20" s="997">
        <f>IF(ISNUMBER(H20/B20),H20/B20," - ")</f>
        <v>10.199999999999999</v>
      </c>
    </row>
    <row r="21" spans="1:9" ht="14.25" thickTop="1" thickBot="1">
      <c r="A21" s="940" t="str">
        <f>Datos!A21</f>
        <v>TOTAL JURISDICCIONES</v>
      </c>
      <c r="B21" s="941">
        <f>Datos!AP21</f>
        <v>11</v>
      </c>
      <c r="C21" s="941">
        <f>Datos!AR21</f>
        <v>11</v>
      </c>
      <c r="D21" s="941">
        <f>SUBTOTAL(9,D8:D20)</f>
        <v>1013</v>
      </c>
      <c r="E21" s="942">
        <f>IF(ISNUMBER(D21/B21),D21/B21," - ")</f>
        <v>92.090909090909093</v>
      </c>
      <c r="F21" s="941">
        <f>SUBTOTAL(9,F8:F20)</f>
        <v>1656</v>
      </c>
      <c r="G21" s="942">
        <f>IF(ISNUMBER(F21/B21),F21/B21," - ")</f>
        <v>150.54545454545453</v>
      </c>
      <c r="H21" s="941">
        <f>SUBTOTAL(9,H8:H20)</f>
        <v>1238</v>
      </c>
      <c r="I21" s="942">
        <f>IF(ISNUMBER(H21/B21),H21/B21," - ")</f>
        <v>112.54545454545455</v>
      </c>
    </row>
    <row r="24" spans="1:9">
      <c r="A24" s="403" t="str">
        <f>Criterios!A4</f>
        <v>Fecha Informe: 06 jun. 2023</v>
      </c>
    </row>
    <row r="29" spans="1:9">
      <c r="A29" s="426"/>
    </row>
  </sheetData>
  <sheetProtection algorithmName="SHA-512" hashValue="88TTK2C4+XlLoiawYxJwMmDcZANCUZIu+ee9C/dfParbAQA4nZEnGYTj7eCgdLB9BW6a+9mQxe+ZFlQjoyhJeA==" saltValue="8upUqc2jysSSHGwUzWnH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CADIZ</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293</v>
      </c>
      <c r="C9" s="451">
        <f>IF(ISNUMBER(Datos!Q9),Datos!Q9," - ")</f>
        <v>815</v>
      </c>
      <c r="D9" s="420">
        <f>IF(ISNUMBER(Datos!R9),Datos!R9," - ")</f>
        <v>7355</v>
      </c>
    </row>
    <row r="10" spans="1:4">
      <c r="A10" s="414" t="str">
        <f>Datos!A10</f>
        <v>Jdos. Violencia contra la mujer</v>
      </c>
      <c r="B10" s="450">
        <f>IF(ISNUMBER(Datos!P10),Datos!P10," - ")</f>
        <v>4</v>
      </c>
      <c r="C10" s="451">
        <f>IF(ISNUMBER(Datos!Q10),Datos!Q10," - ")</f>
        <v>6</v>
      </c>
      <c r="D10" s="420">
        <f>IF(ISNUMBER(Datos!R10),Datos!R10," - ")</f>
        <v>31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297</v>
      </c>
      <c r="C14" s="1000">
        <f>SUBTOTAL(9,C9:C13)</f>
        <v>821</v>
      </c>
      <c r="D14" s="998">
        <f>SUBTOTAL(9,D9:D13)</f>
        <v>7386</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157</v>
      </c>
      <c r="C16" s="451">
        <f>IF(ISNUMBER(Datos!Q16),Datos!Q16," - ")</f>
        <v>112</v>
      </c>
      <c r="D16" s="420">
        <f>IF(ISNUMBER(Datos!R16),Datos!R16," - ")</f>
        <v>244</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2</v>
      </c>
      <c r="C18" s="451">
        <f>IF(ISNUMBER(Datos!Q18),Datos!Q18," - ")</f>
        <v>5</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159</v>
      </c>
      <c r="C20" s="1000">
        <f>SUBTOTAL(9,C16:C19)</f>
        <v>117</v>
      </c>
      <c r="D20" s="998">
        <f>SUBTOTAL(9,D16:D19)</f>
        <v>250</v>
      </c>
    </row>
    <row r="21" spans="1:4" ht="16.5" customHeight="1" thickTop="1" thickBot="1">
      <c r="A21" s="940" t="str">
        <f>Datos!A21</f>
        <v>TOTAL JURISDICCIONES</v>
      </c>
      <c r="B21" s="945">
        <f>SUBTOTAL(9,B8:B20)</f>
        <v>456</v>
      </c>
      <c r="C21" s="946">
        <f>SUBTOTAL(9,C8:C20)</f>
        <v>938</v>
      </c>
      <c r="D21" s="947">
        <f>SUBTOTAL(9,D8:D20)</f>
        <v>7636</v>
      </c>
    </row>
    <row r="22" spans="1:4" ht="7.5" customHeight="1"/>
    <row r="23" spans="1:4" ht="6" customHeight="1"/>
    <row r="24" spans="1:4">
      <c r="A24" s="403" t="str">
        <f>Criterios!A4</f>
        <v>Fecha Informe: 06 jun. 2023</v>
      </c>
    </row>
    <row r="29" spans="1:4">
      <c r="A29" s="426"/>
    </row>
  </sheetData>
  <sheetProtection algorithmName="SHA-512" hashValue="uI9OqKSW6eeIRHmEi2mZ7fNFOc0ZbxX7tBKj3F3mLfezt5B+nyUF+6GeEHsLuFqG/xsybyEo6dcPGG1I86Hwkg==" saltValue="f9+nsXnsmC1oKv3Nvzfc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CADIZ</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-0.17122302158273381</v>
      </c>
      <c r="C9" s="473">
        <f>IF(ISNUMBER(
   IF(J_V="SI",(Datos!J9-Datos!T9)/Datos!T9,(Datos!J9+Datos!Z9-(Datos!T9+Datos!AH9))/(Datos!T9+Datos!AH9))
     ),IF(J_V="SI",(Datos!J9-Datos!T9)/Datos!T9,(Datos!J9+Datos!Z9-(Datos!T9+Datos!AH9))/(Datos!T9+Datos!AH9))," - ")</f>
        <v>-0.53794549266247382</v>
      </c>
      <c r="D9" s="473">
        <f>IF(ISNUMBER(
   IF(J_V="SI",(Datos!K9-Datos!U9)/Datos!U9,(Datos!K9+Datos!AA9-(Datos!U9+Datos!AI9))/(Datos!U9+Datos!AI9))
     ),IF(J_V="SI",(Datos!K9-Datos!U9)/Datos!U9,(Datos!K9+Datos!AA9-(Datos!U9+Datos!AI9))/(Datos!U9+Datos!AI9))," - ")</f>
        <v>-0.21557106132941609</v>
      </c>
      <c r="E9" s="473">
        <f>IF(ISNUMBER(
   IF(J_V="SI",(Datos!L9-Datos!V9)/Datos!V9,(Datos!L9+Datos!AB9-(Datos!V9+Datos!AJ9))/(Datos!V9+Datos!AJ9))
     ),IF(J_V="SI",(Datos!L9-Datos!V9)/Datos!V9,(Datos!L9+Datos!AB9-(Datos!V9+Datos!AJ9))/(Datos!V9+Datos!AJ9))," - ")</f>
        <v>-0.11275964391691394</v>
      </c>
      <c r="F9" s="473">
        <f>IF(ISNUMBER((Datos!M9-Datos!W9)/Datos!W9),(Datos!M9-Datos!W9)/Datos!W9," - ")</f>
        <v>-0.34807534807534807</v>
      </c>
      <c r="G9" s="474">
        <f>IF(ISNUMBER((Datos!N9-Datos!X9)/Datos!X9),(Datos!N9-Datos!X9)/Datos!X9," - ")</f>
        <v>6.9518716577540107E-2</v>
      </c>
      <c r="H9" s="472">
        <f>IF(ISNUMBER(((NºAsuntos!G9/NºAsuntos!E9)-Datos!BD9)/Datos!BD9),((NºAsuntos!G9/NºAsuntos!E9)-Datos!BD9)/Datos!BD9," - ")</f>
        <v>0.69769783913733463</v>
      </c>
      <c r="I9" s="473">
        <f>IF(ISNUMBER(((NºAsuntos!I9/NºAsuntos!G9)-Datos!BE9)/Datos!BE9),((NºAsuntos!I9/NºAsuntos!G9)-Datos!BE9)/Datos!BE9," - ")</f>
        <v>0.13106530412651834</v>
      </c>
      <c r="J9" s="478">
        <f>IF(ISNUMBER((('Resol  Asuntos'!D9/NºAsuntos!G9)-Datos!BF9)/Datos!BF9),(('Resol  Asuntos'!D9/NºAsuntos!G9)-Datos!BF9)/Datos!BF9," - ")</f>
        <v>0.80882519844846357</v>
      </c>
      <c r="K9" s="479">
        <f>IF(ISNUMBER((((NºAsuntos!C9+NºAsuntos!E9)/NºAsuntos!G9)-Datos!BG9)/Datos!BG9),(((NºAsuntos!C9+NºAsuntos!E9)/NºAsuntos!G9)-Datos!BG9)/Datos!BG9," - ")</f>
        <v>-9.1296546278283545E-3</v>
      </c>
    </row>
    <row r="10" spans="1:11">
      <c r="A10" s="414" t="str">
        <f>Datos!A10</f>
        <v>Jdos. Violencia contra la mujer</v>
      </c>
      <c r="B10" s="472">
        <f>IF(ISNUMBER((Datos!I10-Datos!S10)/Datos!S10),(Datos!I10-Datos!S10)/Datos!S10," - ")</f>
        <v>5.2631578947368418E-2</v>
      </c>
      <c r="C10" s="473">
        <f>IF(ISNUMBER((Datos!J10-Datos!T10)/Datos!T10),(Datos!J10-Datos!T10)/Datos!T10," - ")</f>
        <v>-0.51515151515151514</v>
      </c>
      <c r="D10" s="473">
        <f>IF(ISNUMBER((Datos!K10-Datos!U10)/Datos!U10),(Datos!K10-Datos!U10)/Datos!U10," - ")</f>
        <v>-0.31428571428571428</v>
      </c>
      <c r="E10" s="473">
        <f>IF(ISNUMBER((Datos!L10-Datos!V10)/Datos!V10),(Datos!L10-Datos!V10)/Datos!V10," - ")</f>
        <v>-5.4545454545454543E-2</v>
      </c>
      <c r="F10" s="473">
        <f>IF(ISNUMBER((Datos!M10-Datos!W10)/Datos!W10),(Datos!M10-Datos!W10)/Datos!W10," - ")</f>
        <v>-0.625</v>
      </c>
      <c r="G10" s="474">
        <f>IF(ISNUMBER((Datos!N10-Datos!X10)/Datos!X10),(Datos!N10-Datos!X10)/Datos!X10," - ")</f>
        <v>-0.14285714285714285</v>
      </c>
      <c r="H10" s="472">
        <f>IF(ISNUMBER(((NºAsuntos!G10/NºAsuntos!E10)-Datos!BD10)/Datos!BD10),((NºAsuntos!G10/NºAsuntos!E10)-Datos!BD10)/Datos!BD10," - ")</f>
        <v>0.41428571428571437</v>
      </c>
      <c r="I10" s="473">
        <f>IF(ISNUMBER(((NºAsuntos!I10/NºAsuntos!G10)-Datos!BE10)/Datos!BE10),((NºAsuntos!I10/NºAsuntos!G10)-Datos!BE10)/Datos!BE10," - ")</f>
        <v>0.37878787878787873</v>
      </c>
      <c r="J10" s="478">
        <f>IF(ISNUMBER((('Resol  Asuntos'!D10/NºAsuntos!G10)-Datos!BF10)/Datos!BF10),(('Resol  Asuntos'!D10/NºAsuntos!G10)-Datos!BF10)/Datos!BF10," - ")</f>
        <v>-0.453125</v>
      </c>
      <c r="K10" s="479">
        <f>IF(ISNUMBER((((NºAsuntos!C10+NºAsuntos!E10)/NºAsuntos!G10)-Datos!BG10)/Datos!BG10),(((NºAsuntos!C10+NºAsuntos!E10)/NºAsuntos!G10)-Datos!BG10)/Datos!BG10," - ")</f>
        <v>0.23148148148148134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-0.17035217035217035</v>
      </c>
      <c r="C14" s="1002">
        <f>IF(ISNUMBER(
   IF(J_V="SI",(Datos!J14-Datos!T14)/Datos!T14,(Datos!J14+Datos!Z14-(Datos!T14+Datos!AH14))/(Datos!T14+Datos!AH14))
     ),IF(J_V="SI",(Datos!J14-Datos!T14)/Datos!T14,(Datos!J14+Datos!Z14-(Datos!T14+Datos!AH14))/(Datos!T14+Datos!AH14))," - ")</f>
        <v>-0.5376344086021505</v>
      </c>
      <c r="D14" s="1002">
        <f>IF(ISNUMBER(
   IF(J_V="SI",(Datos!K14-Datos!U14)/Datos!U14,(Datos!K14+Datos!AA14-(Datos!U14+Datos!AI14))/(Datos!U14+Datos!AI14))
     ),IF(J_V="SI",(Datos!K14-Datos!U14)/Datos!U14,(Datos!K14+Datos!AA14-(Datos!U14+Datos!AI14))/(Datos!U14+Datos!AI14))," - ")</f>
        <v>-0.21682378535170413</v>
      </c>
      <c r="E14" s="1002">
        <f>IF(ISNUMBER(
   IF(J_V="SI",(Datos!L14-Datos!V14)/Datos!V14,(Datos!L14+Datos!AB14-(Datos!V14+Datos!AJ14))/(Datos!V14+Datos!AJ14))
     ),IF(J_V="SI",(Datos!L14-Datos!V14)/Datos!V14,(Datos!L14+Datos!AB14-(Datos!V14+Datos!AJ14))/(Datos!V14+Datos!AJ14))," - ")</f>
        <v>-0.11250399233471735</v>
      </c>
      <c r="F14" s="1003">
        <f>IF(ISNUMBER((Datos!M14-Datos!W14)/Datos!W14),(Datos!M14-Datos!W14)/Datos!W14," - ")</f>
        <v>-0.34987794955248169</v>
      </c>
      <c r="G14" s="1004">
        <f>IF(ISNUMBER((Datos!N14-Datos!X14)/Datos!X14),(Datos!N14-Datos!X14)/Datos!X14," - ")</f>
        <v>6.4347826086956522E-2</v>
      </c>
      <c r="H14" s="1004">
        <f>IF(ISNUMBER(((NºAsuntos!G14/NºAsuntos!E14)-Datos!BD14)/Datos!BD14),((NºAsuntos!G14/NºAsuntos!E14)-Datos!BD14)/Datos!BD14," - ")</f>
        <v>0.69384623168119808</v>
      </c>
      <c r="I14" s="1004">
        <f>IF(ISNUMBER(((NºAsuntos!I14/NºAsuntos!G14)-Datos!BE14)/Datos!BE14),((NºAsuntos!I14/NºAsuntos!G14)-Datos!BE14)/Datos!BE14," - ")</f>
        <v>0.13320092089854144</v>
      </c>
      <c r="J14" s="1004">
        <f>IF(ISNUMBER((('Resol  Asuntos'!D14/NºAsuntos!G14)-Datos!BF14)/Datos!BF14),(('Resol  Asuntos'!D14/NºAsuntos!G14)-Datos!BF14)/Datos!BF14," - ")</f>
        <v>0.79297825945453371</v>
      </c>
      <c r="K14" s="1004">
        <f>IF(ISNUMBER((((NºAsuntos!C14+NºAsuntos!E14)/NºAsuntos!G14)-Datos!BG14)/Datos!BG14),(((NºAsuntos!C14+NºAsuntos!E14)/NºAsuntos!G14)-Datos!BG14)/Datos!BG14," - ")</f>
        <v>-7.0924732582611765E-3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0.24624624624624625</v>
      </c>
      <c r="C16" s="473">
        <f>IF(ISNUMBER(
   IF(D_I="SI",(Datos!J16-Datos!T16)/Datos!T16,(Datos!J16+Datos!AD16-(Datos!T16+Datos!AL16))/(Datos!T16+Datos!AL16))
     ),IF(D_I="SI",(Datos!J16-Datos!T16)/Datos!T16,(Datos!J16+Datos!AD16-(Datos!T16+Datos!AL16))/(Datos!T16+Datos!AL16))," - ")</f>
        <v>-2.337334175615919E-2</v>
      </c>
      <c r="D16" s="473">
        <f>IF(ISNUMBER(
   IF(D_I="SI",(Datos!K16-Datos!U16)/Datos!U16,(Datos!K16+Datos!AE16-(Datos!U16+Datos!AM16))/(Datos!U16+Datos!AM16))
     ),IF(D_I="SI",(Datos!K16-Datos!U16)/Datos!U16,(Datos!K16+Datos!AE16-(Datos!U16+Datos!AM16))/(Datos!U16+Datos!AM16))," - ")</f>
        <v>-9.6480582524271843E-2</v>
      </c>
      <c r="E16" s="473">
        <f>IF(ISNUMBER(
   IF(D_I="SI",(Datos!L16-Datos!V16)/Datos!V16,(Datos!L16+Datos!AF16-(Datos!V16+Datos!AN16))/(Datos!V16+Datos!AN16))
     ),IF(D_I="SI",(Datos!L16-Datos!V16)/Datos!V16,(Datos!L16+Datos!AF16-(Datos!V16+Datos!AN16))/(Datos!V16+Datos!AN16))," - ")</f>
        <v>0.46052631578947367</v>
      </c>
      <c r="F16" s="473">
        <f>IF(ISNUMBER((Datos!M16-Datos!W16)/Datos!W16),(Datos!M16-Datos!W16)/Datos!W16," - ")</f>
        <v>-8.9686098654708515E-2</v>
      </c>
      <c r="G16" s="474">
        <f>IF(ISNUMBER((Datos!N16-Datos!X16)/Datos!X16),(Datos!N16-Datos!X16)/Datos!X16," - ")</f>
        <v>-0.10018382352941177</v>
      </c>
      <c r="H16" s="472">
        <f>IF(ISNUMBER(((NºAsuntos!G16/NºAsuntos!E16)-Datos!BD16)/Datos!BD16),((NºAsuntos!G16/NºAsuntos!E16)-Datos!BD16)/Datos!BD16," - ")</f>
        <v>-7.4856896595033889E-2</v>
      </c>
      <c r="I16" s="473">
        <f>IF(ISNUMBER(((NºAsuntos!I16/NºAsuntos!G16)-Datos!BE16)/Datos!BE16),((NºAsuntos!I16/NºAsuntos!G16)-Datos!BE16)/Datos!BE16," - ")</f>
        <v>0.61648580820755727</v>
      </c>
      <c r="J16" s="478">
        <f>IF(ISNUMBER((('Resol  Asuntos'!D16/NºAsuntos!G16)-Datos!BF16)/Datos!BF16),(('Resol  Asuntos'!D16/NºAsuntos!G16)-Datos!BF16)/Datos!BF16," - ")</f>
        <v>7.5200197562393404E-3</v>
      </c>
      <c r="K16" s="479">
        <f>IF(ISNUMBER((((NºAsuntos!C16+NºAsuntos!E16)/NºAsuntos!G16)-Datos!BG16)/Datos!BG16),(((NºAsuntos!C16+NºAsuntos!E16)/NºAsuntos!G16)-Datos!BG16)/Datos!BG16," - ")</f>
        <v>0.16928260929937969</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0.86792452830188682</v>
      </c>
      <c r="C18" s="473">
        <f>IF(ISNUMBER(
   IF(D_I="SI",(Datos!J18-Datos!T18)/Datos!T18,(Datos!J18+Datos!AD18-(Datos!T18+Datos!AL18))/(Datos!T18+Datos!AL18))
     ),IF(D_I="SI",(Datos!J18-Datos!T18)/Datos!T18,(Datos!J18+Datos!AD18-(Datos!T18+Datos!AL18))/(Datos!T18+Datos!AL18))," - ")</f>
        <v>-0.23270440251572327</v>
      </c>
      <c r="D18" s="473">
        <f>IF(ISNUMBER(
   IF(D_I="SI",(Datos!K18-Datos!U18)/Datos!U18,(Datos!K18+Datos!AE18-(Datos!U18+Datos!AM18))/(Datos!U18+Datos!AM18))
     ),IF(D_I="SI",(Datos!K18-Datos!U18)/Datos!U18,(Datos!K18+Datos!AE18-(Datos!U18+Datos!AM18))/(Datos!U18+Datos!AM18))," - ")</f>
        <v>-0.31372549019607843</v>
      </c>
      <c r="E18" s="473">
        <f>IF(ISNUMBER(
   IF(D_I="SI",(Datos!L18-Datos!V18)/Datos!V18,(Datos!L18+Datos!AF18-(Datos!V18+Datos!AN18))/(Datos!V18+Datos!AN18))
     ),IF(D_I="SI",(Datos!L18-Datos!V18)/Datos!V18,(Datos!L18+Datos!AF18-(Datos!V18+Datos!AN18))/(Datos!V18+Datos!AN18))," - ")</f>
        <v>0.79166666666666663</v>
      </c>
      <c r="F18" s="473">
        <f>IF(ISNUMBER((Datos!M18-Datos!W18)/Datos!W18),(Datos!M18-Datos!W18)/Datos!W18," - ")</f>
        <v>0.1</v>
      </c>
      <c r="G18" s="474">
        <f>IF(ISNUMBER((Datos!N18-Datos!X18)/Datos!X18),(Datos!N18-Datos!X18)/Datos!X18," - ")</f>
        <v>-0.50757575757575757</v>
      </c>
      <c r="H18" s="472">
        <f>IF(ISNUMBER(((NºAsuntos!G18/NºAsuntos!E18)-Datos!BD18)/Datos!BD18),((NºAsuntos!G18/NºAsuntos!E18)-Datos!BD18)/Datos!BD18," - ")</f>
        <v>-0.10559305689488915</v>
      </c>
      <c r="I18" s="473">
        <f>IF(ISNUMBER(((NºAsuntos!I18/NºAsuntos!G18)-Datos!BE18)/Datos!BE18),((NºAsuntos!I18/NºAsuntos!G18)-Datos!BE18)/Datos!BE18," - ")</f>
        <v>1.6107142857142858</v>
      </c>
      <c r="J18" s="478">
        <f>IF(ISNUMBER((('Resol  Asuntos'!D18/NºAsuntos!G18)-Datos!BF18)/Datos!BF18),(('Resol  Asuntos'!D18/NºAsuntos!G18)-Datos!BF18)/Datos!BF18," - ")</f>
        <v>0.60285714285714276</v>
      </c>
      <c r="K18" s="479">
        <f>IF(ISNUMBER((((NºAsuntos!C18+NºAsuntos!E18)/NºAsuntos!G18)-Datos!BG18)/Datos!BG18),(((NºAsuntos!C18+NºAsuntos!E18)/NºAsuntos!G18)-Datos!BG18)/Datos!BG18," - ")</f>
        <v>0.7595687331536386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0.33160621761658032</v>
      </c>
      <c r="C20" s="1002">
        <f>IF(ISNUMBER(
   IF(Criterios!B14="SI",(Datos!J20-Datos!T20)/Datos!T20,(Datos!J20+Datos!AD20-(Datos!T20+Datos!AL20))/(Datos!T20+Datos!AL20))
     ),IF(Criterios!B14="SI",(Datos!J20-Datos!T20)/Datos!T20,(Datos!J20+Datos!AD20-(Datos!T20+Datos!AL20))/(Datos!T20+Datos!AL20))," - ")</f>
        <v>-4.2479908151549943E-2</v>
      </c>
      <c r="D20" s="1002">
        <f>IF(ISNUMBER(
   IF(Criterios!B14="SI",(Datos!K20-Datos!U20)/Datos!U20,(Datos!K20+Datos!AE20-(Datos!U20+Datos!AM20))/(Datos!U20+Datos!AM20))
     ),IF(Criterios!B14="SI",(Datos!K20-Datos!U20)/Datos!U20,(Datos!K20+Datos!AE20-(Datos!U20+Datos!AM20))/(Datos!U20+Datos!AM20))," - ")</f>
        <v>-0.11493614658523042</v>
      </c>
      <c r="E20" s="1002">
        <f>IF(ISNUMBER(
   IF(Criterios!B14="SI",(Datos!L20-Datos!V20)/Datos!V20,(Datos!L20+Datos!AF20-(Datos!V20+Datos!AN20))/(Datos!V20+Datos!AN20))
     ),IF(Criterios!B14="SI",(Datos!L20-Datos!V20)/Datos!V20,(Datos!L20+Datos!AF20-(Datos!V20+Datos!AN20))/(Datos!V20+Datos!AN20))," - ")</f>
        <v>0.51510989010989006</v>
      </c>
      <c r="F20" s="1003">
        <f>IF(ISNUMBER((Datos!M20-Datos!W20)/Datos!W20),(Datos!M20-Datos!W20)/Datos!W20," - ")</f>
        <v>-8.15450643776824E-2</v>
      </c>
      <c r="G20" s="1004">
        <f>IF(ISNUMBER((Datos!N20-Datos!X20)/Datos!X20),(Datos!N20-Datos!X20)/Datos!X20," - ")</f>
        <v>-0.14426229508196722</v>
      </c>
      <c r="H20" s="1004">
        <f>IF(ISNUMBER(((NºAsuntos!G20/NºAsuntos!E20)-Datos!BD20)/Datos!BD20),((NºAsuntos!G20/NºAsuntos!E20)-Datos!BD20)/Datos!BD20," - ")</f>
        <v>-7.5670723831817291E-2</v>
      </c>
      <c r="I20" s="1004">
        <f>IF(ISNUMBER(((NºAsuntos!I20/NºAsuntos!G20)-Datos!BE20)/Datos!BE20),((NºAsuntos!I20/NºAsuntos!G20)-Datos!BE20)/Datos!BE20," - ")</f>
        <v>0.7118650640451144</v>
      </c>
      <c r="J20" s="1004">
        <f>IF(ISNUMBER((('Resol  Asuntos'!D20/NºAsuntos!G20)-Datos!BF20)/Datos!BF20),(('Resol  Asuntos'!D20/NºAsuntos!G20)-Datos!BF20)/Datos!BF20," - ")</f>
        <v>3.7727314338641169E-2</v>
      </c>
      <c r="K20" s="1004">
        <f>IF(ISNUMBER((((NºAsuntos!C20+NºAsuntos!E20)/NºAsuntos!G20)-Datos!BG20)/Datos!BG20),(((NºAsuntos!C20+NºAsuntos!E20)/NºAsuntos!G20)-Datos!BG20)/Datos!BG20," - ")</f>
        <v>0.21165787774161057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-0.14522821576763487</v>
      </c>
      <c r="C21" s="949">
        <f>IF(ISNUMBER(
   IF(J_V="SI",(Datos!J21-Datos!T21)/Datos!T21,(Datos!J21+Datos!Z21-(Datos!T21+Datos!AH21))/(Datos!T21+Datos!AH21))
     ),IF(J_V="SI",(Datos!J21-Datos!T21)/Datos!T21,(Datos!J21+Datos!Z21-(Datos!T21+Datos!AH21))/(Datos!T21+Datos!AH21))," - ")</f>
        <v>-0.33028846153846153</v>
      </c>
      <c r="D21" s="949">
        <f>IF(ISNUMBER(
   IF(J_V="SI",(Datos!K21-Datos!U21)/Datos!U21,(Datos!K21+Datos!AA21-(Datos!U21+Datos!AI21))/(Datos!U21+Datos!AI21))
     ),IF(J_V="SI",(Datos!K21-Datos!U21)/Datos!U21,(Datos!K21+Datos!AA21-(Datos!U21+Datos!AI21))/(Datos!U21+Datos!AI21))," - ")</f>
        <v>-0.17657381004606273</v>
      </c>
      <c r="E21" s="949">
        <f>IF(ISNUMBER(
   IF(J_V="SI",(Datos!L21-Datos!V21)/Datos!V21,(Datos!L21+Datos!AB21-(Datos!V21+Datos!AJ21))/(Datos!V21+Datos!AJ21))
     ),IF(J_V="SI",(Datos!L21-Datos!V21)/Datos!V21,(Datos!L21+Datos!AB21-(Datos!V21+Datos!AJ21))/(Datos!V21+Datos!AJ21))," - ")</f>
        <v>-7.8025958345910057E-2</v>
      </c>
      <c r="F21" s="950">
        <f>IF(ISNUMBER((Datos!M21-Datos!W21)/Datos!W21),(Datos!M21-Datos!W21)/Datos!W21," - ")</f>
        <v>-0.30711354309165528</v>
      </c>
      <c r="G21" s="951">
        <f>IF(ISNUMBER((Datos!N21-Datos!X21)/Datos!X21),(Datos!N21-Datos!X21)/Datos!X21," - ")</f>
        <v>-7.7437325905292481E-2</v>
      </c>
      <c r="H21" s="952">
        <f>IF(ISNUMBER((Tasas!B21-Datos!BD21)/Datos!BD21),(Tasas!B21-Datos!BD21)/Datos!BD21," - ")</f>
        <v>0.22952367200587898</v>
      </c>
      <c r="I21" s="953">
        <f>IF(ISNUMBER((Tasas!C21-Datos!BE21)/Datos!BE21),(Tasas!C21-Datos!BE21)/Datos!BE21," - ")</f>
        <v>0.11968024930767078</v>
      </c>
      <c r="J21" s="954">
        <f>IF(ISNUMBER((Tasas!D21-Datos!BF21)/Datos!BF21),(Tasas!D21-Datos!BF21)/Datos!BF21," - ")</f>
        <v>0.53394716458720004</v>
      </c>
      <c r="K21" s="954">
        <f>IF(ISNUMBER((Tasas!E21-Datos!BG21)/Datos!BG21),(Tasas!E21-Datos!BG21)/Datos!BG21," - ")</f>
        <v>-9.6724985723289931E-3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FPxCzhm31KymmzOOeGKc2gsXYlhVjnxmpTdbSCEhDvxD6m5E/kduZ1oj1GOIkbXfVG4tIU+83xRL3pBG6Tr+Q==" saltValue="Tv1IUQUKxJzSPJPrX7JSE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CADIZ</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1.9382940108892921</v>
      </c>
      <c r="C9" s="460">
        <f>IF(ISNUMBER(NºAsuntos!I9/NºAsuntos!G9),NºAsuntos!I9/NºAsuntos!G9," - ")</f>
        <v>5.1793071161048685</v>
      </c>
      <c r="D9" s="461">
        <f>IF(ISNUMBER('Resol  Asuntos'!D9/NºAsuntos!G9),'Resol  Asuntos'!D9/NºAsuntos!G9," - ")</f>
        <v>0.37265917602996257</v>
      </c>
      <c r="E9" s="462">
        <f>IF(ISNUMBER((NºAsuntos!C9+NºAsuntos!E9)/NºAsuntos!G9),(NºAsuntos!C9+NºAsuntos!E9)/NºAsuntos!G9," - ")</f>
        <v>6.178838951310861</v>
      </c>
      <c r="G9" s="480"/>
    </row>
    <row r="10" spans="1:7">
      <c r="A10" s="414" t="str">
        <f>Datos!A10</f>
        <v>Jdos. Violencia contra la mujer</v>
      </c>
      <c r="B10" s="459">
        <f>IF(ISNUMBER(NºAsuntos!G10/NºAsuntos!E10),NºAsuntos!G10/NºAsuntos!E10," - ")</f>
        <v>1.5</v>
      </c>
      <c r="C10" s="460">
        <f>IF(ISNUMBER(NºAsuntos!I10/NºAsuntos!G10),NºAsuntos!I10/NºAsuntos!G10," - ")</f>
        <v>2.1666666666666665</v>
      </c>
      <c r="D10" s="461">
        <f>IF(ISNUMBER('Resol  Asuntos'!D10/NºAsuntos!G10),'Resol  Asuntos'!D10/NºAsuntos!G10," - ")</f>
        <v>0.125</v>
      </c>
      <c r="E10" s="462">
        <f>IF(ISNUMBER((NºAsuntos!C10+NºAsuntos!E10)/NºAsuntos!G10),(NºAsuntos!C10+NºAsuntos!E10)/NºAsuntos!G10," - ")</f>
        <v>3.1666666666666665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1.9320214669051878</v>
      </c>
      <c r="C14" s="1006">
        <f>IF(ISNUMBER(NºAsuntos!I14/NºAsuntos!G14),NºAsuntos!I14/NºAsuntos!G14," - ")</f>
        <v>5.145833333333333</v>
      </c>
      <c r="D14" s="1007">
        <f>IF(ISNUMBER('Resol  Asuntos'!D14/NºAsuntos!G14),'Resol  Asuntos'!D14/NºAsuntos!G14," - ")</f>
        <v>0.36990740740740741</v>
      </c>
      <c r="E14" s="1008">
        <f>IF(ISNUMBER((NºAsuntos!C14+NºAsuntos!E14)/NºAsuntos!G14),(NºAsuntos!C14+NºAsuntos!E14)/NºAsuntos!G14," - ")</f>
        <v>6.1453703703703706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0.96313065976714096</v>
      </c>
      <c r="C16" s="460">
        <f>IF(ISNUMBER(NºAsuntos!I16/NºAsuntos!G16),NºAsuntos!I16/NºAsuntos!G16," - ")</f>
        <v>0.59637340496977842</v>
      </c>
      <c r="D16" s="461">
        <f>IF(ISNUMBER('Resol  Asuntos'!D16/NºAsuntos!G16),'Resol  Asuntos'!D16/NºAsuntos!G16," - ")</f>
        <v>0.13633310946944258</v>
      </c>
      <c r="E16" s="462">
        <f>IF(ISNUMBER((NºAsuntos!C16+NºAsuntos!E16)/NºAsuntos!G16),(NºAsuntos!C16+NºAsuntos!E16)/NºAsuntos!G16," - ")</f>
        <v>1.5957018132975151</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0.86065573770491799</v>
      </c>
      <c r="C18" s="460">
        <f>IF(ISNUMBER(NºAsuntos!I18/NºAsuntos!G18),NºAsuntos!I18/NºAsuntos!G18," - ")</f>
        <v>2.0476190476190474</v>
      </c>
      <c r="D18" s="461">
        <f>IF(ISNUMBER('Resol  Asuntos'!D18/NºAsuntos!G18),'Resol  Asuntos'!D18/NºAsuntos!G18," - ")</f>
        <v>0.10476190476190476</v>
      </c>
      <c r="E18" s="462">
        <f>IF(ISNUMBER((NºAsuntos!C18+NºAsuntos!E18)/NºAsuntos!G18),(NºAsuntos!C18+NºAsuntos!E18)/NºAsuntos!G18," - ")</f>
        <v>3.0476190476190474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0.95563549160671468</v>
      </c>
      <c r="C20" s="1006">
        <f>IF(ISNUMBER(NºAsuntos!I20/NºAsuntos!G20),NºAsuntos!I20/NºAsuntos!G20," - ")</f>
        <v>0.69196988707653706</v>
      </c>
      <c r="D20" s="1009">
        <f>IF(ISNUMBER('Resol  Asuntos'!D20/NºAsuntos!G20),'Resol  Asuntos'!D20/NºAsuntos!G20," - ")</f>
        <v>0.1342534504391468</v>
      </c>
      <c r="E20" s="1008">
        <f>IF(ISNUMBER((NºAsuntos!C20+NºAsuntos!E20)/NºAsuntos!G20),(NºAsuntos!C20+NºAsuntos!E20)/NºAsuntos!G20," - ")</f>
        <v>1.6913425345043915</v>
      </c>
      <c r="G20" s="480"/>
    </row>
    <row r="21" spans="1:7" ht="15.75" customHeight="1" thickTop="1" thickBot="1">
      <c r="A21" s="940" t="str">
        <f>Datos!A21</f>
        <v>TOTAL JURISDICCIONES</v>
      </c>
      <c r="B21" s="955">
        <f>IF(ISNUMBER(NºAsuntos!G21/NºAsuntos!E21),NºAsuntos!G21/NºAsuntos!E21," - ")</f>
        <v>1.3474515434314429</v>
      </c>
      <c r="C21" s="956">
        <f>IF(ISNUMBER(NºAsuntos!I21/NºAsuntos!G21),NºAsuntos!I21/NºAsuntos!G21," - ")</f>
        <v>3.254661694192861</v>
      </c>
      <c r="D21" s="957">
        <f>IF(ISNUMBER('Resol  Asuntos'!D21/NºAsuntos!G21),'Resol  Asuntos'!D21/NºAsuntos!G21," - ")</f>
        <v>0.26984549813532233</v>
      </c>
      <c r="E21" s="958">
        <f>IF(ISNUMBER((NºAsuntos!C21+NºAsuntos!E21)/NºAsuntos!G21),(NºAsuntos!C21+NºAsuntos!E21)/NºAsuntos!G21," - ")</f>
        <v>4.2541289291422482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uWgXj6loLnGgOW182pdBWf4Oct5Wf1qZCnpf2pL/F9HmD7hmMqFF462OTWpERbFZmZ8hxMWs+YDqw4sTxZ2i5w==" saltValue="40dWw7rLvwohytcGUhtA7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CADIZ</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293</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815</v>
      </c>
      <c r="Y9" s="344">
        <f>SUM(W9:X9)</f>
        <v>815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7355</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796</v>
      </c>
      <c r="AJ9" s="234" t="str">
        <f>IF(ISNUMBER(Datos!BW9),Datos!BW9," - ")</f>
        <v xml:space="preserve"> - </v>
      </c>
      <c r="AK9" s="233" t="str">
        <f>IF(ISNUMBER(Datos!BX9),Datos!BX9," - ")</f>
        <v xml:space="preserve"> - </v>
      </c>
      <c r="AL9" s="248">
        <f>IF(ISNUMBER(NºAsuntos!G9/NºAsuntos!E9),NºAsuntos!G9/NºAsuntos!E9," - ")</f>
        <v>1.9382940108892921</v>
      </c>
      <c r="AM9" s="265">
        <f>IF(ISNUMBER(((NºAsuntos!I9/NºAsuntos!G9)*11)/factor_trimestre),((NºAsuntos!I9/NºAsuntos!G9)*11)/factor_trimestre," - ")</f>
        <v>15.537921348314606</v>
      </c>
      <c r="AN9" s="249">
        <f>IF(ISNUMBER('Resol  Asuntos'!D9/NºAsuntos!G9),'Resol  Asuntos'!D9/NºAsuntos!G9," - ")</f>
        <v>0.37265917602996257</v>
      </c>
      <c r="AO9" s="250">
        <f>IF(ISNUMBER((NºAsuntos!C9+NºAsuntos!E9)/NºAsuntos!G9),(NºAsuntos!C9+NºAsuntos!E9)/NºAsuntos!G9," - ")</f>
        <v>6.178838951310861</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60</v>
      </c>
      <c r="G10" s="343">
        <f>IF(ISNUMBER(Datos!I10),Datos!I10," - ")</f>
        <v>60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24</v>
      </c>
      <c r="X10" s="231">
        <f>IF(ISNUMBER(Datos!Q10),Datos!Q10," - ")</f>
        <v>6</v>
      </c>
      <c r="Y10" s="344">
        <f t="shared" ref="Y10:Y13" si="0">SUM(W10:X10)</f>
        <v>30</v>
      </c>
      <c r="Z10" s="345" t="str">
        <f>IF(ISNUMBER(Datos!CC10),Datos!CC10," - ")</f>
        <v xml:space="preserve"> - </v>
      </c>
      <c r="AA10" s="342">
        <f>IF(ISNUMBER(Datos!L10),Datos!L10,"-")</f>
        <v>52</v>
      </c>
      <c r="AB10" s="344">
        <f>IF(ISNUMBER(Datos!R10),Datos!R10," - ")</f>
        <v>31</v>
      </c>
      <c r="AC10" s="344">
        <f t="shared" ref="AC10:AC13" si="1">IF(ISNUMBER(AA10+AB10),AA10+AB10," - ")</f>
        <v>83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6.5</v>
      </c>
      <c r="AN10" s="249">
        <f>IF(ISNUMBER('Resol  Asuntos'!D10/NºAsuntos!G10),'Resol  Asuntos'!D10/NºAsuntos!G10," - ")</f>
        <v>0.125</v>
      </c>
      <c r="AO10" s="250">
        <f>IF(ISNUMBER((NºAsuntos!C10+NºAsuntos!E10)/NºAsuntos!G10),(NºAsuntos!C10+NºAsuntos!E10)/NºAsuntos!G10," - ")</f>
        <v>3.1666666666666665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60</v>
      </c>
      <c r="G14" s="1013">
        <f t="shared" si="5"/>
        <v>60</v>
      </c>
      <c r="H14" s="1012">
        <f t="shared" si="5"/>
        <v>0</v>
      </c>
      <c r="I14" s="1014">
        <f t="shared" si="5"/>
        <v>0</v>
      </c>
      <c r="J14" s="1014">
        <f t="shared" si="5"/>
        <v>0</v>
      </c>
      <c r="K14" s="1014">
        <f t="shared" si="5"/>
        <v>0</v>
      </c>
      <c r="L14" s="1014">
        <f t="shared" si="5"/>
        <v>297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24</v>
      </c>
      <c r="X14" s="1014">
        <f t="shared" si="6"/>
        <v>821</v>
      </c>
      <c r="Y14" s="1015">
        <f t="shared" si="6"/>
        <v>845</v>
      </c>
      <c r="Z14" s="1015">
        <f t="shared" si="6"/>
        <v>0</v>
      </c>
      <c r="AA14" s="1015">
        <f t="shared" si="6"/>
        <v>52</v>
      </c>
      <c r="AB14" s="1015">
        <f t="shared" si="6"/>
        <v>7386</v>
      </c>
      <c r="AC14" s="1015">
        <f t="shared" si="6"/>
        <v>83</v>
      </c>
      <c r="AD14" s="1015">
        <f t="shared" si="6"/>
        <v>0</v>
      </c>
      <c r="AE14" s="1019">
        <f t="shared" si="6"/>
        <v>0</v>
      </c>
      <c r="AF14" s="1012">
        <f t="shared" si="6"/>
        <v>0</v>
      </c>
      <c r="AG14" s="1020">
        <f t="shared" si="6"/>
        <v>0</v>
      </c>
      <c r="AH14" s="1017">
        <f t="shared" si="6"/>
        <v>0</v>
      </c>
      <c r="AI14" s="1012">
        <f t="shared" si="6"/>
        <v>799</v>
      </c>
      <c r="AJ14" s="1014">
        <f t="shared" si="6"/>
        <v>0</v>
      </c>
      <c r="AK14" s="1017">
        <f>SUBTOTAL(9,AK9:AK13)</f>
        <v>0</v>
      </c>
      <c r="AL14" s="1021">
        <f>IF(ISNUMBER(NºAsuntos!G14/NºAsuntos!E14),NºAsuntos!G14/NºAsuntos!E14," - ")</f>
        <v>1.9320214669051878</v>
      </c>
      <c r="AM14" s="1021">
        <f>IF(ISNUMBER(((NºAsuntos!I14/NºAsuntos!G14)*11)/factor_trimestre),((NºAsuntos!I14/NºAsuntos!G14)*11)/factor_trimestre," - ")</f>
        <v>15.4375</v>
      </c>
      <c r="AN14" s="1022">
        <f>IF(ISNUMBER('Resol  Asuntos'!D14/NºAsuntos!G14),'Resol  Asuntos'!D14/NºAsuntos!G14," - ")</f>
        <v>0.36990740740740741</v>
      </c>
      <c r="AO14" s="1023">
        <f>IF(ISNUMBER((NºAsuntos!C14+NºAsuntos!E14)/NºAsuntos!G14),(NºAsuntos!C14+NºAsuntos!E14)/NºAsuntos!G14," - ")</f>
        <v>6.1453703703703706</v>
      </c>
      <c r="AP14" s="1024" t="str">
        <f t="shared" si="2"/>
        <v xml:space="preserve"> - </v>
      </c>
      <c r="AQ14" s="1024">
        <f>IF(ISNUMBER((H14-W14+K14)/(F14)),(H14-W14+K14)/(F14)," - ")</f>
        <v>-0.4</v>
      </c>
      <c r="AR14" s="1025">
        <f>IF(ISNUMBER((Datos!P14-Datos!Q14)/(Datos!R14-Datos!P14+Datos!Q14)),(Datos!P14-Datos!Q14)/(Datos!R14-Datos!P14+Datos!Q14)," - ")</f>
        <v>-6.6245259165613149E-2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831</v>
      </c>
      <c r="G16" s="343">
        <f>IF(ISNUMBER(IF(D_I="SI",Datos!I16,Datos!I16+Datos!AC16)),IF(D_I="SI",Datos!I16,Datos!I16+Datos!AC16)," - ")</f>
        <v>830</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157</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1489</v>
      </c>
      <c r="X16" s="231">
        <f>IF(ISNUMBER(Datos!Q16),Datos!Q16," - ")</f>
        <v>112</v>
      </c>
      <c r="Y16" s="344">
        <f>SUM(W16)</f>
        <v>1489</v>
      </c>
      <c r="Z16" s="345" t="str">
        <f>IF(ISNUMBER(Datos!CC16),Datos!CC16," - ")</f>
        <v xml:space="preserve"> - </v>
      </c>
      <c r="AA16" s="342">
        <f>IF(ISNUMBER(IF(D_I="SI",Datos!L16,Datos!L16+Datos!AF16)),IF(D_I="SI",Datos!L16,Datos!L16+Datos!AF16)," - ")</f>
        <v>888</v>
      </c>
      <c r="AB16" s="344">
        <f>IF(ISNUMBER(Datos!R16),Datos!R16," - ")</f>
        <v>244</v>
      </c>
      <c r="AC16" s="344">
        <f t="shared" ref="AC16:AC19" si="8">IF(ISNUMBER(AA16+AB16),AA16+AB16," - ")</f>
        <v>1132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203</v>
      </c>
      <c r="AJ16" s="236" t="str">
        <f>IF(ISNUMBER(Datos!BW16),Datos!BW16," - ")</f>
        <v xml:space="preserve"> - </v>
      </c>
      <c r="AK16" s="237" t="str">
        <f>IF(ISNUMBER(Datos!BX16),Datos!BX16," - ")</f>
        <v xml:space="preserve"> - </v>
      </c>
      <c r="AL16" s="248">
        <f>IF(ISNUMBER(NºAsuntos!G16/NºAsuntos!E16),NºAsuntos!G16/NºAsuntos!E16," - ")</f>
        <v>0.96313065976714096</v>
      </c>
      <c r="AM16" s="265">
        <f>IF(ISNUMBER(((NºAsuntos!I16/NºAsuntos!G16)*11)/factor_trimestre),((NºAsuntos!I16/NºAsuntos!G16)*11)/factor_trimestre," - ")</f>
        <v>1.7891202149093353</v>
      </c>
      <c r="AN16" s="249">
        <f>IF(ISNUMBER('Resol  Asuntos'!D16/NºAsuntos!G16),'Resol  Asuntos'!D16/NºAsuntos!G16," - ")</f>
        <v>0.13633310946944258</v>
      </c>
      <c r="AO16" s="250">
        <f>IF(ISNUMBER((NºAsuntos!C16+NºAsuntos!E16)/NºAsuntos!G16),(NºAsuntos!C16+NºAsuntos!E16)/NºAsuntos!G16," - ")</f>
        <v>1.5957018132975151</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198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105</v>
      </c>
      <c r="X18" s="231">
        <f>IF(ISNUMBER(Datos!Q18),Datos!Q18," - ")</f>
        <v>5</v>
      </c>
      <c r="Y18" s="344">
        <f t="shared" si="9"/>
        <v>110</v>
      </c>
      <c r="Z18" s="345" t="str">
        <f>IF(ISNUMBER(Datos!CC18),Datos!CC18," - ")</f>
        <v xml:space="preserve"> - </v>
      </c>
      <c r="AA18" s="342">
        <f>IF(ISNUMBER(Datos!L18),Datos!L18,"-")</f>
        <v>215</v>
      </c>
      <c r="AB18" s="344">
        <f>IF(ISNUMBER(Datos!R18),Datos!R18," - ")</f>
        <v>6</v>
      </c>
      <c r="AC18" s="344">
        <f t="shared" si="8"/>
        <v>221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0.86065573770491799</v>
      </c>
      <c r="AM18" s="265">
        <f>IF(ISNUMBER(((NºAsuntos!I18/NºAsuntos!G18)*11)/factor_trimestre),((NºAsuntos!I18/NºAsuntos!G18)*11)/factor_trimestre," - ")</f>
        <v>6.1428571428571423</v>
      </c>
      <c r="AN18" s="249">
        <f>IF(ISNUMBER('Resol  Asuntos'!D18/NºAsuntos!G18),'Resol  Asuntos'!D18/NºAsuntos!G18," - ")</f>
        <v>0.10476190476190476</v>
      </c>
      <c r="AO18" s="250">
        <f>IF(ISNUMBER((NºAsuntos!C18+NºAsuntos!E18)/NºAsuntos!G18),(NºAsuntos!C18+NºAsuntos!E18)/NºAsuntos!G18," - ")</f>
        <v>3.0476190476190474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831</v>
      </c>
      <c r="G20" s="1013">
        <f>SUBTOTAL(9,G16:G19)</f>
        <v>1028</v>
      </c>
      <c r="H20" s="1012">
        <f t="shared" ref="H20:O20" si="12">SUBTOTAL(9,H15:H19)</f>
        <v>0</v>
      </c>
      <c r="I20" s="1014">
        <f t="shared" si="12"/>
        <v>0</v>
      </c>
      <c r="J20" s="1014">
        <f t="shared" si="12"/>
        <v>0</v>
      </c>
      <c r="K20" s="1014">
        <f t="shared" si="12"/>
        <v>0</v>
      </c>
      <c r="L20" s="1014">
        <f t="shared" si="12"/>
        <v>159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1594</v>
      </c>
      <c r="X20" s="1014">
        <f t="shared" si="13"/>
        <v>117</v>
      </c>
      <c r="Y20" s="1015">
        <f t="shared" si="13"/>
        <v>1599</v>
      </c>
      <c r="Z20" s="1015">
        <f t="shared" si="13"/>
        <v>0</v>
      </c>
      <c r="AA20" s="1015">
        <f t="shared" si="13"/>
        <v>1103</v>
      </c>
      <c r="AB20" s="1015">
        <f t="shared" si="13"/>
        <v>250</v>
      </c>
      <c r="AC20" s="1015">
        <f t="shared" si="13"/>
        <v>1353</v>
      </c>
      <c r="AD20" s="1015">
        <f t="shared" si="13"/>
        <v>0</v>
      </c>
      <c r="AE20" s="1019">
        <f t="shared" si="13"/>
        <v>0</v>
      </c>
      <c r="AF20" s="1012">
        <f t="shared" si="13"/>
        <v>0</v>
      </c>
      <c r="AG20" s="1020">
        <f t="shared" si="13"/>
        <v>0</v>
      </c>
      <c r="AH20" s="1017">
        <f t="shared" si="13"/>
        <v>0</v>
      </c>
      <c r="AI20" s="1012">
        <f t="shared" si="13"/>
        <v>214</v>
      </c>
      <c r="AJ20" s="1014">
        <f t="shared" si="13"/>
        <v>0</v>
      </c>
      <c r="AK20" s="1017">
        <f t="shared" si="13"/>
        <v>0</v>
      </c>
      <c r="AL20" s="1021">
        <f>IF(ISNUMBER(NºAsuntos!G20/NºAsuntos!E20),NºAsuntos!G20/NºAsuntos!E20," - ")</f>
        <v>0.95563549160671468</v>
      </c>
      <c r="AM20" s="1021">
        <f>IF(ISNUMBER(((NºAsuntos!I20/NºAsuntos!G20)*11)/factor_trimestre),((NºAsuntos!I20/NºAsuntos!G20)*11)/factor_trimestre," - ")</f>
        <v>2.0759096612296113</v>
      </c>
      <c r="AN20" s="1022">
        <f>IF(ISNUMBER('Resol  Asuntos'!D20/NºAsuntos!G20),'Resol  Asuntos'!D20/NºAsuntos!G20," - ")</f>
        <v>0.1342534504391468</v>
      </c>
      <c r="AO20" s="1023">
        <f>IF(ISNUMBER((NºAsuntos!C20+NºAsuntos!E20)/NºAsuntos!G20),(NºAsuntos!C20+NºAsuntos!E20)/NºAsuntos!G20," - ")</f>
        <v>1.6913425345043915</v>
      </c>
      <c r="AP20" s="1024" t="str">
        <f t="shared" si="2"/>
        <v xml:space="preserve"> - </v>
      </c>
      <c r="AQ20" s="1024">
        <f>IF(ISNUMBER((H20-W20+K20)/(F20)),(H20-W20+K20)/(F20)," - ")</f>
        <v>-1.9181708784596871</v>
      </c>
      <c r="AR20" s="1025">
        <f>IF(ISNUMBER((Datos!P20-Datos!Q20)/(Datos!R20-Datos!P20+Datos!Q20)),(Datos!P20-Datos!Q20)/(Datos!R20-Datos!P20+Datos!Q20)," - ")</f>
        <v>0.20192307692307693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12</v>
      </c>
      <c r="F21" s="967">
        <f t="shared" si="15"/>
        <v>891</v>
      </c>
      <c r="G21" s="968">
        <f t="shared" si="15"/>
        <v>1088</v>
      </c>
      <c r="H21" s="967">
        <f t="shared" si="15"/>
        <v>0</v>
      </c>
      <c r="I21" s="969">
        <f t="shared" si="15"/>
        <v>0</v>
      </c>
      <c r="J21" s="969">
        <f t="shared" si="15"/>
        <v>0</v>
      </c>
      <c r="K21" s="1028">
        <f t="shared" si="15"/>
        <v>0</v>
      </c>
      <c r="L21" s="969">
        <f t="shared" si="15"/>
        <v>456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1618</v>
      </c>
      <c r="X21" s="968">
        <f t="shared" si="16"/>
        <v>938</v>
      </c>
      <c r="Y21" s="975">
        <f t="shared" si="16"/>
        <v>2444</v>
      </c>
      <c r="Z21" s="975">
        <f t="shared" si="16"/>
        <v>0</v>
      </c>
      <c r="AA21" s="975">
        <f t="shared" si="16"/>
        <v>1155</v>
      </c>
      <c r="AB21" s="975">
        <f t="shared" si="16"/>
        <v>7636</v>
      </c>
      <c r="AC21" s="975">
        <f t="shared" si="16"/>
        <v>1436</v>
      </c>
      <c r="AD21" s="975">
        <f t="shared" si="16"/>
        <v>0</v>
      </c>
      <c r="AE21" s="977">
        <f t="shared" si="16"/>
        <v>0</v>
      </c>
      <c r="AF21" s="978">
        <f t="shared" si="16"/>
        <v>0</v>
      </c>
      <c r="AG21" s="979">
        <f t="shared" si="16"/>
        <v>0</v>
      </c>
      <c r="AH21" s="977">
        <f t="shared" si="16"/>
        <v>0</v>
      </c>
      <c r="AI21" s="967">
        <f t="shared" si="16"/>
        <v>1013</v>
      </c>
      <c r="AJ21" s="967">
        <f t="shared" si="16"/>
        <v>0</v>
      </c>
      <c r="AK21" s="977">
        <f t="shared" si="16"/>
        <v>0</v>
      </c>
      <c r="AL21" s="1031">
        <f>IF(ISNUMBER(NºAsuntos!G21/NºAsuntos!E21),NºAsuntos!G21/NºAsuntos!E21," - ")</f>
        <v>1.3474515434314429</v>
      </c>
      <c r="AM21" s="1032">
        <f>IF(ISNUMBER(((NºAsuntos!I21/NºAsuntos!G21)*11)/factor_trimestre),((NºAsuntos!I21/NºAsuntos!G21)*11)/factor_trimestre," - ")</f>
        <v>9.7639850825785839</v>
      </c>
      <c r="AN21" s="1032">
        <f>IF(ISNUMBER('Resol  Asuntos'!D21/NºAsuntos!G21),'Resol  Asuntos'!D21/NºAsuntos!G21," - ")</f>
        <v>0.26984549813532233</v>
      </c>
      <c r="AO21" s="1033">
        <f>IF(ISNUMBER((NºAsuntos!C21+NºAsuntos!E21)/NºAsuntos!G21),(NºAsuntos!C21+NºAsuntos!E21)/NºAsuntos!G21," - ")</f>
        <v>4.2541289291422482</v>
      </c>
      <c r="AP21" s="1034" t="str">
        <f t="shared" si="2"/>
        <v xml:space="preserve"> - </v>
      </c>
      <c r="AQ21" s="1035">
        <f>IF(OR(ISNUMBER(FIND("01",Criterios!A8,1)),ISNUMBER(FIND("02",Criterios!A8,1)),ISNUMBER(FIND("03",Criterios!A8,1)),ISNUMBER(FIND("04",Criterios!A8,1))),(I21-W21+K21)/(F21-K21),(H21-W21+K21)/(F21-K21))</f>
        <v>-1.8159371492704826</v>
      </c>
      <c r="AR21" s="1036">
        <f>IF(ISNUMBER((Datos!P21-Datos!Q21)/(Datos!R21-Datos!P21+Datos!Q21)),(Datos!P21-Datos!Q21)/(Datos!R21-Datos!P21+Datos!Q21)," - ")</f>
        <v>-5.9374230105937426E-2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435.2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2.7502066038093145</v>
      </c>
      <c r="F23" s="257">
        <f>IF(ISNUMBER(STDEV(F8:F20)),STDEV(F8:F20),"-")</f>
        <v>445.13705754520146</v>
      </c>
      <c r="G23" s="258">
        <f>IF(ISNUMBER(STDEV(G8:G20)),STDEV(G8:G20),"-")</f>
        <v>459.6446453511669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817.89284139182928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367.43416643892368</v>
      </c>
      <c r="AJ23" s="257">
        <f t="shared" si="20"/>
        <v>0</v>
      </c>
      <c r="AK23" s="259">
        <f t="shared" si="20"/>
        <v>0</v>
      </c>
      <c r="AL23" s="254">
        <f t="shared" si="20"/>
        <v>0.50031501859855565</v>
      </c>
      <c r="AM23" s="255">
        <f t="shared" si="20"/>
        <v>6.188069539063469</v>
      </c>
      <c r="AN23" s="255">
        <f t="shared" si="20"/>
        <v>0.12762769640414032</v>
      </c>
      <c r="AO23" s="256">
        <f t="shared" si="20"/>
        <v>2.0627132468197176</v>
      </c>
      <c r="AP23" s="296" t="str">
        <f t="shared" si="20"/>
        <v>-</v>
      </c>
      <c r="AQ23" s="297">
        <f t="shared" si="20"/>
        <v>1.0735089231587829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gCvW2tG2j2NDhc3X09tLN53Vy4r5nxIt95j1emjItXs+YgXAK7LDoixR1mBkfbcHBDfTjy92Gl3TFCiQJ4j+w==" saltValue="bQpqRxcUboM8heJ6PAcd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CADIZ</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-0.34807534807534807</v>
      </c>
      <c r="I9" s="360">
        <f>IF(ISNUMBER((Tasas!C9-Datos!BE9)/Datos!BE9),(Tasas!C9-Datos!BE9)/Datos!BE9," - ")</f>
        <v>0.13106530412651834</v>
      </c>
      <c r="J9" s="359">
        <f>IF(ISNUMBER((Tasas!D9-Datos!BF9)/Datos!BF9),(Tasas!D9-Datos!BF9)/Datos!BF9," - ")</f>
        <v>0.80882519844846357</v>
      </c>
      <c r="K9" s="361">
        <f>IF(ISNUMBER((Tasas!E9-Datos!BG9)/Datos!BG9),(Tasas!E9-Datos!BG9)/Datos!BG9," - ")</f>
        <v>-9.1296546278283545E-3</v>
      </c>
      <c r="M9" t="e">
        <f>IF(Monitorios="SI",Datos!CE9,0)</f>
        <v>#REF!</v>
      </c>
      <c r="N9" t="e">
        <f>IF(Monitorios="SI",Datos!CF9,0)</f>
        <v>#REF!</v>
      </c>
      <c r="O9" t="e">
        <f>IF(Monitorios="SI",Datos!CG9,0)</f>
        <v>#REF!</v>
      </c>
      <c r="P9" t="e">
        <f>IF(Monitorios="SI",Datos!CH9,0)</f>
        <v>#REF!</v>
      </c>
      <c r="Q9">
        <f>IF(J_V="SI",0,Datos!AG9)</f>
        <v>334</v>
      </c>
      <c r="R9">
        <f>IF(J_V="SI",0,Datos!AH9)</f>
        <v>118</v>
      </c>
      <c r="S9">
        <f>IF(J_V="SI",0,Datos!AI9)</f>
        <v>159</v>
      </c>
      <c r="T9">
        <f>IF(J_V="SI",0,Datos!AJ9)</f>
        <v>267</v>
      </c>
    </row>
    <row r="10" spans="2:20" ht="14.25">
      <c r="B10" s="280" t="s">
        <v>273</v>
      </c>
      <c r="C10" s="7" t="str">
        <f>Datos!A10</f>
        <v>Jdos. Violencia contra la mujer</v>
      </c>
      <c r="D10" s="362">
        <f>IF(ISNUMBER((Datos!I10-Datos!S10)/Datos!S10),(Datos!I10-Datos!S10)/Datos!S10," - ")</f>
        <v>5.2631578947368418E-2</v>
      </c>
      <c r="E10" s="358">
        <f>IF(ISNUMBER((Datos!J10-Datos!T10)/Datos!T10),(Datos!J10-Datos!T10)/Datos!T10," - ")</f>
        <v>-0.51515151515151514</v>
      </c>
      <c r="F10" s="358">
        <f>IF(ISNUMBER((Datos!K10-Datos!U10)/Datos!U10),(Datos!K10-Datos!U10)/Datos!U10," - ")</f>
        <v>-0.31428571428571428</v>
      </c>
      <c r="G10" s="359">
        <f>IF(ISNUMBER((Datos!L10-Datos!V10)/Datos!V10),(Datos!L10-Datos!V10)/Datos!V10," - ")</f>
        <v>-5.4545454545454543E-2</v>
      </c>
      <c r="H10" s="235">
        <f>IF(ISNUMBER((Datos!M10-Datos!W10)/Datos!W10),(Datos!M10-Datos!W10)/Datos!W10," - ")</f>
        <v>-0.625</v>
      </c>
      <c r="I10" s="360">
        <f>IF(ISNUMBER((Tasas!C10-Datos!BE10)/Datos!BE10),(Tasas!C10-Datos!BE10)/Datos!BE10," - ")</f>
        <v>0.37878787878787873</v>
      </c>
      <c r="J10" s="359">
        <f>IF(ISNUMBER((Tasas!D10-Datos!BF10)/Datos!BF10),(Tasas!D10-Datos!BF10)/Datos!BF10," - ")</f>
        <v>-0.453125</v>
      </c>
      <c r="K10" s="361">
        <f>IF(ISNUMBER((Tasas!E10-Datos!BG10)/Datos!BG10),(Tasas!E10-Datos!BG10)/Datos!BG10," - ")</f>
        <v>0.23148148148148134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-0.34987794955248169</v>
      </c>
      <c r="I14" s="367">
        <f>IF(ISNUMBER((Tasas!C14-Datos!BE14)/Datos!BE14),(Tasas!C14-Datos!BE14)/Datos!BE14," - ")</f>
        <v>0.13320092089854144</v>
      </c>
      <c r="J14" s="365">
        <f>IF(ISNUMBER((Tasas!D14-Datos!BF14)/Datos!BF14),(Tasas!D14-Datos!BF14)/Datos!BF14," - ")</f>
        <v>0.79297825945453371</v>
      </c>
      <c r="K14" s="368">
        <f>IF(ISNUMBER((Tasas!E14-Datos!BG14)/Datos!BG14),(Tasas!E14-Datos!BG14)/Datos!BG14," - ")</f>
        <v>-7.0924732582611765E-3</v>
      </c>
      <c r="M14" t="e">
        <f>IF(Monitorios="SI",Datos!CE14,0)</f>
        <v>#REF!</v>
      </c>
      <c r="N14" t="e">
        <f>IF(Monitorios="SI",Datos!CF14,0)</f>
        <v>#REF!</v>
      </c>
      <c r="O14" t="e">
        <f>IF(Monitorios="SI",Datos!CG14,0)</f>
        <v>#REF!</v>
      </c>
      <c r="P14" t="e">
        <f>IF(Monitorios="SI",Datos!CH14,0)</f>
        <v>#REF!</v>
      </c>
      <c r="Q14">
        <f>IF(J_V="SI",0,Datos!AG14)</f>
        <v>334</v>
      </c>
      <c r="R14">
        <f>IF(J_V="SI",0,Datos!AH14)</f>
        <v>118</v>
      </c>
      <c r="S14">
        <f>IF(J_V="SI",0,Datos!AI14)</f>
        <v>159</v>
      </c>
      <c r="T14">
        <f>IF(J_V="SI",0,Datos!AJ14)</f>
        <v>267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0.24624624624624625</v>
      </c>
      <c r="E16" s="358">
        <f>IF(ISNUMBER(
   IF(D_I="SI",(Datos!J16-Datos!T16)/Datos!T16,(Datos!J16+Datos!AD16-(Datos!T16+Datos!AL16))/(Datos!T16+Datos!AL16))
     ),IF(D_I="SI",(Datos!J16-Datos!T16)/Datos!T16,(Datos!J16+Datos!AD16-(Datos!T16+Datos!AL16))/(Datos!T16+Datos!AL16))," - ")</f>
        <v>-2.337334175615919E-2</v>
      </c>
      <c r="F16" s="358">
        <f>IF(ISNUMBER(
   IF(D_I="SI",(Datos!K16-Datos!U16)/Datos!U16,(Datos!K16+Datos!AE16-(Datos!U16+Datos!AM16))/(Datos!U16+Datos!AM16))
     ),IF(D_I="SI",(Datos!K16-Datos!U16)/Datos!U16,(Datos!K16+Datos!AE16-(Datos!U16+Datos!AM16))/(Datos!U16+Datos!AM16))," - ")</f>
        <v>-9.6480582524271843E-2</v>
      </c>
      <c r="G16" s="359">
        <f>IF(ISNUMBER(
   IF(D_I="SI",(Datos!L16-Datos!V16)/Datos!V16,(Datos!L16+Datos!AF16-(Datos!V16+Datos!AN16))/(Datos!V16+Datos!AN16))
     ),IF(D_I="SI",(Datos!L16-Datos!V16)/Datos!V16,(Datos!L16+Datos!AF16-(Datos!V16+Datos!AN16))/(Datos!V16+Datos!AN16))," - ")</f>
        <v>0.46052631578947367</v>
      </c>
      <c r="H16" s="235">
        <f>IF(ISNUMBER((Datos!M16-Datos!W16)/Datos!W16),(Datos!M16-Datos!W16)/Datos!W16," - ")</f>
        <v>-8.9686098654708515E-2</v>
      </c>
      <c r="I16" s="360">
        <f>IF(ISNUMBER((Tasas!C16-Datos!BE16)/Datos!BE16),(Tasas!C16-Datos!BE16)/Datos!BE16," - ")</f>
        <v>0.61648580820755727</v>
      </c>
      <c r="J16" s="359">
        <f>IF(ISNUMBER((Tasas!D16-Datos!BF16)/Datos!BF16),(Tasas!D16-Datos!BF16)/Datos!BF16," - ")</f>
        <v>7.5200197562393404E-3</v>
      </c>
      <c r="K16" s="361">
        <f>IF(ISNUMBER((Tasas!E16-Datos!BG16)/Datos!BG16),(Tasas!E16-Datos!BG16)/Datos!BG16," - ")</f>
        <v>0.16928260929937969</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0.86792452830188682</v>
      </c>
      <c r="E18" s="358">
        <f>IF(ISNUMBER(
   IF(D_I="SI",(Datos!J18-Datos!T18)/Datos!T18,(Datos!J18+Datos!AD18-(Datos!T18+Datos!AL18))/(Datos!T18+Datos!AL18))
     ),IF(D_I="SI",(Datos!J18-Datos!T18)/Datos!T18,(Datos!J18+Datos!AD18-(Datos!T18+Datos!AL18))/(Datos!T18+Datos!AL18))," - ")</f>
        <v>-0.23270440251572327</v>
      </c>
      <c r="F18" s="358">
        <f>IF(ISNUMBER(
   IF(D_I="SI",(Datos!K18-Datos!U18)/Datos!U18,(Datos!K18+Datos!AE18-(Datos!U18+Datos!AM18))/(Datos!U18+Datos!AM18))
     ),IF(D_I="SI",(Datos!K18-Datos!U18)/Datos!U18,(Datos!K18+Datos!AE18-(Datos!U18+Datos!AM18))/(Datos!U18+Datos!AM18))," - ")</f>
        <v>-0.31372549019607843</v>
      </c>
      <c r="G18" s="359">
        <f>IF(ISNUMBER(
   IF(D_I="SI",(Datos!L18-Datos!V18)/Datos!V18,(Datos!L18+Datos!AF18-(Datos!V18+Datos!AN18))/(Datos!V18+Datos!AN18))
     ),IF(D_I="SI",(Datos!L18-Datos!V18)/Datos!V18,(Datos!L18+Datos!AF18-(Datos!V18+Datos!AN18))/(Datos!V18+Datos!AN18))," - ")</f>
        <v>0.79166666666666663</v>
      </c>
      <c r="H18" s="235">
        <f>IF(ISNUMBER((Datos!M18-Datos!W18)/Datos!W18),(Datos!M18-Datos!W18)/Datos!W18," - ")</f>
        <v>0.1</v>
      </c>
      <c r="I18" s="360">
        <f>IF(ISNUMBER((Tasas!C18-Datos!BE18)/Datos!BE18),(Tasas!C18-Datos!BE18)/Datos!BE18," - ")</f>
        <v>1.6107142857142858</v>
      </c>
      <c r="J18" s="359">
        <f>IF(ISNUMBER((Tasas!D18-Datos!BF18)/Datos!BF18),(Tasas!D18-Datos!BF18)/Datos!BF18," - ")</f>
        <v>0.60285714285714276</v>
      </c>
      <c r="K18" s="361">
        <f>IF(ISNUMBER((Tasas!E18-Datos!BG18)/Datos!BG18),(Tasas!E18-Datos!BG18)/Datos!BG18," - ")</f>
        <v>0.7595687331536386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0.33160621761658032</v>
      </c>
      <c r="E20" s="364">
        <f>IF(ISNUMBER(
   IF(D_I="SI",(Datos!J20-Datos!T20)/Datos!T20,(Datos!J20+Datos!AD20-(Datos!T20+Datos!AL20))/(Datos!T20+Datos!AL20))
     ),IF(D_I="SI",(Datos!J20-Datos!T20)/Datos!T20,(Datos!J20+Datos!AD20-(Datos!T20+Datos!AL20))/(Datos!T20+Datos!AL20))," - ")</f>
        <v>-4.2479908151549943E-2</v>
      </c>
      <c r="F20" s="364">
        <f>IF(ISNUMBER(
   IF(D_I="SI",(Datos!K20-Datos!U20)/Datos!U20,(Datos!K20+Datos!AE20-(Datos!U20+Datos!AM20))/(Datos!U20+Datos!AM20))
     ),IF(D_I="SI",(Datos!K20-Datos!U20)/Datos!U20,(Datos!K20+Datos!AE20-(Datos!U20+Datos!AM20))/(Datos!U20+Datos!AM20))," - ")</f>
        <v>-0.11493614658523042</v>
      </c>
      <c r="G20" s="365">
        <f>IF(ISNUMBER(
   IF(D_I="SI",(Datos!L20-Datos!V20)/Datos!V20,(Datos!L20+Datos!AF20-(Datos!V20+Datos!AN20))/(Datos!V20+Datos!AN20))
     ),IF(D_I="SI",(Datos!L20-Datos!V20)/Datos!V20,(Datos!L20+Datos!AF20-(Datos!V20+Datos!AN20))/(Datos!V20+Datos!AN20))," - ")</f>
        <v>0.51510989010989006</v>
      </c>
      <c r="H20" s="366">
        <f>IF(ISNUMBER((Datos!M20-Datos!W20)/Datos!W20),(Datos!M20-Datos!W20)/Datos!W20," - ")</f>
        <v>-8.15450643776824E-2</v>
      </c>
      <c r="I20" s="367">
        <f>IF(ISNUMBER((Tasas!C20-Datos!BE20)/Datos!BE20),(Tasas!C20-Datos!BE20)/Datos!BE20," - ")</f>
        <v>0.7118650640451144</v>
      </c>
      <c r="J20" s="365">
        <f>IF(ISNUMBER((Tasas!D20-Datos!BF20)/Datos!BF20),(Tasas!D20-Datos!BF20)/Datos!BF20," - ")</f>
        <v>3.7727314338641169E-2</v>
      </c>
      <c r="K20" s="368">
        <f>IF(ISNUMBER((Tasas!E20-Datos!BG20)/Datos!BG20),(Tasas!E20-Datos!BG20)/Datos!BG20," - ")</f>
        <v>0.21165787774161057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-0.14522821576763487</v>
      </c>
      <c r="E21" s="373">
        <f>IF(ISNUMBER(
   IF(J_V="SI",(Datos!J21-Datos!T21)/Datos!T21,(Datos!J21+Datos!Z21-(Datos!T21+Datos!AH21))/(Datos!T21+Datos!AH21))
     ),IF(J_V="SI",(Datos!J21-Datos!T21)/Datos!T21,(Datos!J21+Datos!Z21-(Datos!T21+Datos!AH21))/(Datos!T21+Datos!AH21))," - ")</f>
        <v>-0.33028846153846153</v>
      </c>
      <c r="F21" s="373">
        <f>IF(ISNUMBER(
   IF(J_V="SI",(Datos!K21-Datos!U21)/Datos!U21,(Datos!K21+Datos!AA21-(Datos!U21+Datos!AI21))/(Datos!U21+Datos!AI21))
     ),IF(J_V="SI",(Datos!K21-Datos!U21)/Datos!U21,(Datos!K21+Datos!AA21-(Datos!U21+Datos!AI21))/(Datos!U21+Datos!AI21))," - ")</f>
        <v>-0.17657381004606273</v>
      </c>
      <c r="G21" s="374">
        <f>IF(ISNUMBER(
   IF(J_V="SI",(Datos!L21-Datos!V21)/Datos!V21,(Datos!L21+Datos!AB21-(Datos!V21+Datos!AJ21))/(Datos!V21+Datos!AJ21))
     ),IF(J_V="SI",(Datos!L21-Datos!V21)/Datos!V21,(Datos!L21+Datos!AB21-(Datos!V21+Datos!AJ21))/(Datos!V21+Datos!AJ21))," - ")</f>
        <v>-7.8025958345910057E-2</v>
      </c>
      <c r="H21" s="375">
        <f>IF(ISNUMBER((Datos!M21-Datos!W21)/Datos!W21),(Datos!M21-Datos!W21)/Datos!W21," - ")</f>
        <v>-0.30711354309165528</v>
      </c>
      <c r="I21" s="372">
        <f>IF(ISNUMBER((Tasas!C21-Datos!BE21)/Datos!BE21),(Tasas!C21-Datos!BE21)/Datos!BE21," - ")</f>
        <v>0.11968024930767078</v>
      </c>
      <c r="J21" s="373">
        <f>IF(ISNUMBER((Tasas!D21-Datos!BF21)/Datos!BF21),(Tasas!D21-Datos!BF21)/Datos!BF21," - ")</f>
        <v>0.53394716458720004</v>
      </c>
      <c r="K21" s="374">
        <f>IF(ISNUMBER((Tasas!E21-Datos!BG21)/Datos!BG21),(Tasas!E21-Datos!BG21)/Datos!BG21," - ")</f>
        <v>-9.6724985723289931E-3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0.34897750920240783</v>
      </c>
      <c r="E23" s="283">
        <f t="shared" si="1"/>
        <v>0.22829266732686013</v>
      </c>
      <c r="F23" s="283">
        <f t="shared" si="1"/>
        <v>0.12049647308199225</v>
      </c>
      <c r="G23" s="284">
        <f t="shared" si="1"/>
        <v>0.35296341212662202</v>
      </c>
      <c r="H23" s="290">
        <f t="shared" si="1"/>
        <v>0.25881686045516727</v>
      </c>
      <c r="I23" s="282">
        <f t="shared" si="1"/>
        <v>0.55154539011548653</v>
      </c>
      <c r="J23" s="283">
        <f t="shared" si="1"/>
        <v>0.51287038070937951</v>
      </c>
      <c r="K23" s="284">
        <f t="shared" si="1"/>
        <v>0.28205185522023385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YDda2XHQB50XeK0j5UZEUHcKGz53lEPjO3XwxBS9BvaeyihhoEYzMQlwYPJJt4F1GwW9Me5kVmu6/ASE+0Hkg==" saltValue="749P33cjlyXH+m1wi4U7y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